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 tabRatio="667" firstSheet="6" activeTab="6"/>
  </bookViews>
  <sheets>
    <sheet name="一次预算" sheetId="1" state="hidden" r:id="rId1"/>
    <sheet name="调整省级经费计划" sheetId="3" state="hidden" r:id="rId2"/>
    <sheet name="二次预算" sheetId="9" state="hidden" r:id="rId3"/>
    <sheet name="拟报三次预算（作废）" sheetId="8" state="hidden" r:id="rId4"/>
    <sheet name="新增（仅29个区）（作废）" sheetId="5" state="hidden" r:id="rId5"/>
    <sheet name="省级明细0927" sheetId="11" state="hidden" r:id="rId6"/>
    <sheet name="2024年预算" sheetId="14" r:id="rId7"/>
    <sheet name="Sheet1" sheetId="6" state="hidden" r:id="rId8"/>
    <sheet name="Sheet2" sheetId="7" state="hidden" r:id="rId9"/>
    <sheet name="Sheet5" sheetId="10" state="hidden" r:id="rId10"/>
    <sheet name="2024年报送预算数" sheetId="2" state="hidden" r:id="rId11"/>
  </sheets>
  <externalReferences>
    <externalReference r:id="rId12"/>
  </externalReferences>
  <definedNames>
    <definedName name="_xlnm._FilterDatabase" localSheetId="0" hidden="1">一次预算!$4:$102</definedName>
    <definedName name="_xlnm._FilterDatabase" localSheetId="3" hidden="1">'拟报三次预算（作废）'!$A$3:$S$129</definedName>
    <definedName name="_xlnm._FilterDatabase" localSheetId="4" hidden="1">'新增（仅29个区）（作废）'!$A$2:$Q$45</definedName>
    <definedName name="_xlnm._FilterDatabase" localSheetId="7" hidden="1">Sheet1!$A$2:$HA$189</definedName>
    <definedName name="_xlnm._FilterDatabase" localSheetId="8" hidden="1">Sheet2!$2:$126</definedName>
    <definedName name="_xlnm._FilterDatabase" localSheetId="6" hidden="1">'2024年预算'!$A$4:$B$101</definedName>
    <definedName name="_xlnm.Print_Area" localSheetId="0">一次预算!$C$1:$S$102</definedName>
    <definedName name="_xlnm.Print_Titles" localSheetId="0">一次预算!$2:$4</definedName>
    <definedName name="_xlnm.Print_Titles" localSheetId="4">'新增（仅29个区）（作废）'!$2:$2</definedName>
    <definedName name="_xlnm.Print_Titles" localSheetId="6">'2024年预算'!$3:$4</definedName>
  </definedNames>
  <calcPr calcId="144525"/>
</workbook>
</file>

<file path=xl/comments1.xml><?xml version="1.0" encoding="utf-8"?>
<comments xmlns="http://schemas.openxmlformats.org/spreadsheetml/2006/main">
  <authors>
    <author>蓝韵华</author>
  </authors>
  <commentList>
    <comment ref="E7" authorId="0">
      <text>
        <r>
          <rPr>
            <b/>
            <sz val="9"/>
            <rFont val="宋体"/>
            <charset val="134"/>
          </rPr>
          <t>蓝韵华:</t>
        </r>
        <r>
          <rPr>
            <sz val="9"/>
            <rFont val="宋体"/>
            <charset val="134"/>
          </rPr>
          <t xml:space="preserve">
（基层处报）1.现场调研指导差旅费和劳务补助35万元：57个县，每个县安排3位专家，每人每天550元食宿补助，每个县合计安排2天（分2次），专家劳务补助500元/天。
2.技术培训费125万元，用于在57个县举办筛查、检测结果解读、随访、信息报告、转诊、健康教育等培训，每个县培训10名师资，每人每天550元，培训2期，每期2天。</t>
        </r>
      </text>
    </comment>
    <comment ref="F7" authorId="0">
      <text>
        <r>
          <rPr>
            <b/>
            <sz val="9"/>
            <rFont val="宋体"/>
            <charset val="134"/>
          </rPr>
          <t>蓝韵华:</t>
        </r>
        <r>
          <rPr>
            <sz val="9"/>
            <rFont val="宋体"/>
            <charset val="134"/>
          </rPr>
          <t xml:space="preserve">
(省疾控核报）广东省公共卫生研究院的项目评估经费预算修订为99万元，其中2024年为39万元，2025年为30万元，2026年为30万元。经费用于开展项目评估、筛查技术指导、质量控制、数据清洗和分析、评估报告撰写等工作。
测算依据：1.技术培训及研讨费：21万元，拟用于举办质量控制、数据清洗和分析等培训；以及举办方案论证、项目技术评估和卫生经济学评估等研讨会；2.差旅费：20万元，用于项目评估、质量控制、筛查技术指导或参加相关会议产生的差旅费；3.专家咨询费/劳务费：50万元，给予方案编制、报告审查、筛查技术指导、数据质控及分析、评估报告撰写等专家咨询费/劳务费；4.材料费：8万元，用于印刷培训材料、质量控制问卷及项目开展所需的材料。</t>
        </r>
      </text>
    </comment>
  </commentList>
</comments>
</file>

<file path=xl/sharedStrings.xml><?xml version="1.0" encoding="utf-8"?>
<sst xmlns="http://schemas.openxmlformats.org/spreadsheetml/2006/main" count="2167" uniqueCount="577">
  <si>
    <t>广东省病毒性肝炎早防早治项目预算</t>
  </si>
  <si>
    <t>地区</t>
  </si>
  <si>
    <t>筛查、接种、随访经费</t>
  </si>
  <si>
    <t>工作经费测算</t>
  </si>
  <si>
    <t>省财政承担费用合计
（万元）</t>
  </si>
  <si>
    <t>区划码</t>
  </si>
  <si>
    <t>市</t>
  </si>
  <si>
    <t>20-70岁人口数（人）</t>
  </si>
  <si>
    <t>摸底乙肝表面抗原阳性人数（人）</t>
  </si>
  <si>
    <t>目标筛查人数（人）</t>
  </si>
  <si>
    <t>估计筛查中发现HBsAg阳性人数（人）</t>
  </si>
  <si>
    <t>筛查费用（万元）</t>
  </si>
  <si>
    <t>疫苗接种服务费 (万元）</t>
  </si>
  <si>
    <t>随访费用
（万元）</t>
  </si>
  <si>
    <t>筛查、接种和随访费用小计
（万元）</t>
  </si>
  <si>
    <t>共同财政事权补助比例</t>
  </si>
  <si>
    <t>省财政补助筛查和接种费用
（万元）</t>
  </si>
  <si>
    <t>宣传费用
（万元）</t>
  </si>
  <si>
    <t>培训费用
（万元）</t>
  </si>
  <si>
    <t>信息化改造
（万元）</t>
  </si>
  <si>
    <t>项目评估费用
（万元）</t>
  </si>
  <si>
    <t>工作经费小计
（万元）</t>
  </si>
  <si>
    <t>信息化</t>
  </si>
  <si>
    <t>合计</t>
  </si>
  <si>
    <t>省级财政补助金额
（万元）</t>
  </si>
  <si>
    <t>栏次</t>
  </si>
  <si>
    <t>A</t>
  </si>
  <si>
    <t>B</t>
  </si>
  <si>
    <t>C=A*70%-B</t>
  </si>
  <si>
    <t>D=C*9%阳性率</t>
  </si>
  <si>
    <t>E=C*20元/人</t>
  </si>
  <si>
    <t>F=C*50%抗体阴性率*60%接种意愿*21元/剂次</t>
  </si>
  <si>
    <t>G=D*40%慢乙肝比例*10元/人</t>
  </si>
  <si>
    <t>H=E+F+G</t>
  </si>
  <si>
    <t>I</t>
  </si>
  <si>
    <t>J=H*I</t>
  </si>
  <si>
    <t>K</t>
  </si>
  <si>
    <t>L</t>
  </si>
  <si>
    <t>M</t>
  </si>
  <si>
    <t>N</t>
  </si>
  <si>
    <t>O</t>
  </si>
  <si>
    <t>P=J+O</t>
  </si>
  <si>
    <t>G</t>
  </si>
  <si>
    <t>H</t>
  </si>
  <si>
    <t>J</t>
  </si>
  <si>
    <t>K=E+F+G+H+I</t>
  </si>
  <si>
    <t>M=K*L</t>
  </si>
  <si>
    <t>全省合计</t>
  </si>
  <si>
    <t>省级单位小计</t>
  </si>
  <si>
    <t>省卫生健康委</t>
  </si>
  <si>
    <t>省疾控中心</t>
  </si>
  <si>
    <t>省公共卫生研究院</t>
  </si>
  <si>
    <t>省妇幼保健院</t>
  </si>
  <si>
    <t>南方医院</t>
  </si>
  <si>
    <t>中山三院</t>
  </si>
  <si>
    <t>地市小计</t>
  </si>
  <si>
    <t>4402</t>
  </si>
  <si>
    <t>韶关市</t>
  </si>
  <si>
    <t>市本级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</si>
  <si>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始兴县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</si>
  <si>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仁化县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</si>
  <si>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翁源县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</si>
  <si>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乳源瑶族自治县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</si>
  <si>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新丰县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</si>
  <si>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乐昌市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</si>
  <si>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南雄市</t>
    </r>
  </si>
  <si>
    <t>4405</t>
  </si>
  <si>
    <t>汕头市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</si>
  <si>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南澳县</t>
    </r>
  </si>
  <si>
    <t>4407</t>
  </si>
  <si>
    <t>江门市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</si>
  <si>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台山市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</si>
  <si>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开平市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</si>
  <si>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鹤山市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</si>
  <si>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恩平市</t>
    </r>
  </si>
  <si>
    <t>4408</t>
  </si>
  <si>
    <t>湛江市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</si>
  <si>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遂溪县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</si>
  <si>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徐闻县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</si>
  <si>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廉江市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</si>
  <si>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雷州市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</si>
  <si>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吴川市</t>
    </r>
  </si>
  <si>
    <t>4409</t>
  </si>
  <si>
    <t>茂名市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</si>
  <si>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高州市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</si>
  <si>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化州市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</si>
  <si>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信宜市</t>
    </r>
  </si>
  <si>
    <t>4412</t>
  </si>
  <si>
    <t>肇庆市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</si>
  <si>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广宁县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</si>
  <si>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怀集县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</si>
  <si>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封开县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</si>
  <si>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德庆县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</si>
  <si>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四会市</t>
    </r>
  </si>
  <si>
    <t>4413</t>
  </si>
  <si>
    <t>惠州市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</si>
  <si>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博罗县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</si>
  <si>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惠东县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</si>
  <si>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龙门县</t>
    </r>
  </si>
  <si>
    <t>4414</t>
  </si>
  <si>
    <t>梅州市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</si>
  <si>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大埔县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</si>
  <si>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丰顺县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</si>
  <si>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五华县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</si>
  <si>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平远县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</si>
  <si>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蕉岭县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</si>
  <si>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兴宁市</t>
    </r>
  </si>
  <si>
    <t>4415</t>
  </si>
  <si>
    <t>汕尾市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</si>
  <si>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海丰县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</si>
  <si>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陆河县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</si>
  <si>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陆丰市</t>
    </r>
  </si>
  <si>
    <t>4416</t>
  </si>
  <si>
    <t>河源市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</si>
  <si>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紫金县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</si>
  <si>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龙川县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</si>
  <si>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连平县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</si>
  <si>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和平县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</si>
  <si>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东源县</t>
    </r>
  </si>
  <si>
    <t>4417</t>
  </si>
  <si>
    <t>阳江市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</si>
  <si>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阳西县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</si>
  <si>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阳春市</t>
    </r>
  </si>
  <si>
    <t>清远市</t>
  </si>
  <si>
    <t>4418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</si>
  <si>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佛冈县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</si>
  <si>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阳山县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</si>
  <si>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连山壮族瑶族自治县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</si>
  <si>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连南瑶族自治县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</si>
  <si>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英德市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</si>
  <si>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连州市</t>
    </r>
  </si>
  <si>
    <t>4451</t>
  </si>
  <si>
    <t>潮州市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</si>
  <si>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饶平县</t>
    </r>
  </si>
  <si>
    <t>4452</t>
  </si>
  <si>
    <t>揭阳市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</si>
  <si>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揭西县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</si>
  <si>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惠来县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</si>
  <si>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普宁市</t>
    </r>
  </si>
  <si>
    <t>4453</t>
  </si>
  <si>
    <t>云浮市</t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</si>
  <si>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新兴县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</si>
  <si>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郁南县</t>
    </r>
  </si>
  <si>
    <r>
      <rPr>
        <sz val="11"/>
        <color theme="1"/>
        <rFont val="Times New Roman"/>
        <charset val="134"/>
      </rPr>
      <t xml:space="preserve">    </t>
    </r>
    <r>
      <rPr>
        <sz val="11"/>
        <color theme="1"/>
        <rFont val="宋体"/>
        <charset val="134"/>
      </rPr>
      <t>罗定市</t>
    </r>
  </si>
  <si>
    <t>注：
1.筛查费用：对项目地区20-70岁人群开展乙肝表面抗原、表面抗体、丙肝表面抗体筛查，20-70岁人口数和摸底乙肝表面抗原阳性人数根据2023年7月底开展的专项摸底调查数据；目标筛查人口数根据摸底人口数的70%测算（已扣减茂名化州试点完成筛查的10万人），并扣除已有乙肝筛查阳性结果人数，按照20元/人标准进行测算，包含检测试剂、耗材、人员和组织动员等费用。
2.疫苗接种费用：筛查发现的所有表面抗原、表面抗体均为阴性人员提供首针乙肝疫苗免费接种。其中，疫苗由企业捐赠，接种服务费由财政承担，具体接种服务费用按实际发生数在次年结算。根据2020年乙肝血清流调结果，人群中乙肝抗原抗体双阴比例约50%，结合佛山市均安镇试点中接种意愿60%估算接种人数，并按照非免疫规划疫苗接种服务标准21元/剂次进行初步测算接种服务费用。
3.随访费用：按茂名化州试点筛查中HBsAg阳性率9%估算本项目HBsAg阳性人数，并根据2020年血清流调结果乙肝感染者中40%为慢性乙肝患者估算需随访的慢性乙肝患者人数，按照10元/人标准测算随访费用。
4.工作经费：用于宣传（按照省疾控中心、省妇幼各60万元，每个市本级、县25万元测算）、会议培训（按照省疾控中心、省妇幼、南方医院、中山三院各20万元，每个县25万元测算）、督导评估、项目质控、组织专家论证、信息化系统改造等（按照省级168.61万元，每个县10万元测算）。</t>
  </si>
  <si>
    <t>工作经费分年度下达计划</t>
  </si>
  <si>
    <t>2024年</t>
  </si>
  <si>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</t>
    </r>
  </si>
  <si>
    <r>
      <rPr>
        <sz val="11"/>
        <rFont val="Times New Roman"/>
        <charset val="134"/>
      </rPr>
      <t>2026</t>
    </r>
    <r>
      <rPr>
        <sz val="11"/>
        <rFont val="宋体"/>
        <charset val="134"/>
      </rPr>
      <t>年</t>
    </r>
  </si>
  <si>
    <t>省宣教中心</t>
  </si>
  <si>
    <t>估计筛查中新发现HBsAg阳性人数（人）</t>
  </si>
  <si>
    <t>筛查费用
（万元）</t>
  </si>
  <si>
    <t>工作经费
（万元）</t>
  </si>
  <si>
    <t>项目预算合计
（万元）</t>
  </si>
  <si>
    <t>其中省财政承担费用
（万元）</t>
  </si>
  <si>
    <t>G=（D+B)*40%慢乙肝比例*10元/人</t>
  </si>
  <si>
    <t>I=E+F+G+H</t>
  </si>
  <si>
    <t>3年合计</t>
  </si>
  <si>
    <t>2025年</t>
  </si>
  <si>
    <t>2026年</t>
  </si>
  <si>
    <t>注：
1.筛查费用：对项目地区20-70岁人群开展乙肝表面抗原、表面抗体、丙肝表面抗体筛查，20-70岁人口数和摸底乙肝表面抗原阳性人数根据2023年7月底开展的专项摸底调查数据；目标筛查人口数根据摸底人口数的70%测算（已扣减茂名化州试点完成筛查的10万人），并扣除已有乙肝筛查阳性结果人数，按照20元/人标准进行测算，包含检测试剂、耗材、样本运送、质量控制、人员和组织动员等费用。
2.疫苗接种费用：筛查发现的所有表面抗原、表面抗体均为阴性人员提供首针乙肝疫苗免费接种。其中，疫苗由企业捐赠，接种服务费由财政承担，具体接种服务费用按实际发生数在次年结算。根据2020年乙肝血清流调结果，人群中乙肝抗原抗体双阴比例约50%，结合佛山市均安镇试点中接种意愿60%估算接种人数，并按照非免疫规划疫苗接种服务标准21元/剂次进行初步测算接种服务费用。
3.随访费用：按茂名化州试点筛查中HBsAg阳性率9%估算本项目HBsAg阳性人数，并根据2020年血清流调结果乙肝感染者中40%为慢性乙肝患者估算需随访的慢性乙肝患者人数，按照10元/人标准测算随访费用。
4.工作经费：用于宣传、会议培训、督导评估、项目管理、专家咨询论证等。
5.省级财政承担筛查费用和省级工作经费，其余费用由市县级财政承担。</t>
  </si>
  <si>
    <t>区</t>
  </si>
  <si>
    <t xml:space="preserve">  浈江区</t>
  </si>
  <si>
    <t xml:space="preserve">  武江区</t>
  </si>
  <si>
    <t xml:space="preserve">  曲江区</t>
  </si>
  <si>
    <t xml:space="preserve">  金平区</t>
  </si>
  <si>
    <t xml:space="preserve">  龙湖区</t>
  </si>
  <si>
    <t xml:space="preserve">  澄海区</t>
  </si>
  <si>
    <t xml:space="preserve">  濠江区</t>
  </si>
  <si>
    <t xml:space="preserve">  潮阳区</t>
  </si>
  <si>
    <t xml:space="preserve">  潮南区</t>
  </si>
  <si>
    <t xml:space="preserve">  赤坎区</t>
  </si>
  <si>
    <t xml:space="preserve">  霞山区</t>
  </si>
  <si>
    <t xml:space="preserve">  坡头区</t>
  </si>
  <si>
    <t xml:space="preserve">  麻章区</t>
  </si>
  <si>
    <t xml:space="preserve">  茂南区</t>
  </si>
  <si>
    <t xml:space="preserve">  电白区</t>
  </si>
  <si>
    <t xml:space="preserve">  梅江区</t>
  </si>
  <si>
    <t xml:space="preserve">  梅县区</t>
  </si>
  <si>
    <t xml:space="preserve">  城区</t>
  </si>
  <si>
    <t xml:space="preserve">  源城区</t>
  </si>
  <si>
    <t xml:space="preserve">  江城区</t>
  </si>
  <si>
    <t xml:space="preserve">  阳东区</t>
  </si>
  <si>
    <t xml:space="preserve">  清城区</t>
  </si>
  <si>
    <t xml:space="preserve">  清新区</t>
  </si>
  <si>
    <t xml:space="preserve">  湘桥区</t>
  </si>
  <si>
    <t xml:space="preserve">  潮安区</t>
  </si>
  <si>
    <t xml:space="preserve">  榕城区</t>
  </si>
  <si>
    <t xml:space="preserve">  揭东区</t>
  </si>
  <si>
    <t xml:space="preserve">  云城区</t>
  </si>
  <si>
    <t xml:space="preserve">  云安区</t>
  </si>
  <si>
    <t>C=A*70%</t>
  </si>
  <si>
    <t>广东省病毒性肝炎早防早治项目工作经费测算（省本级）</t>
  </si>
  <si>
    <t>单位：万元</t>
  </si>
  <si>
    <t>项目名称</t>
  </si>
  <si>
    <t>项目单位</t>
  </si>
  <si>
    <t>项目内容</t>
  </si>
  <si>
    <r>
      <rPr>
        <b/>
        <sz val="10"/>
        <color rgb="FF000000"/>
        <rFont val="宋体"/>
        <charset val="134"/>
      </rPr>
      <t>预算金额</t>
    </r>
    <r>
      <rPr>
        <b/>
        <sz val="10"/>
        <color rgb="FF000000"/>
        <rFont val="Times New Roman"/>
        <charset val="134"/>
      </rPr>
      <t xml:space="preserve">
(</t>
    </r>
    <r>
      <rPr>
        <b/>
        <sz val="10"/>
        <color rgb="FF000000"/>
        <rFont val="宋体"/>
        <charset val="134"/>
      </rPr>
      <t>万元</t>
    </r>
    <r>
      <rPr>
        <b/>
        <sz val="10"/>
        <color rgb="FF000000"/>
        <rFont val="Times New Roman"/>
        <charset val="134"/>
      </rPr>
      <t>)</t>
    </r>
  </si>
  <si>
    <t>测算依据</t>
  </si>
  <si>
    <t>病毒性肝炎早防早治</t>
  </si>
  <si>
    <t>小计</t>
  </si>
  <si>
    <t>项目培训教材、幻灯制定</t>
  </si>
  <si>
    <r>
      <rPr>
        <sz val="10"/>
        <color rgb="FF000000"/>
        <rFont val="宋体"/>
        <charset val="134"/>
      </rPr>
      <t>1.培训大纲编制2万元：组织专家编制出规范的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个板块的培训大纲，按国家财政部关于专家咨询费的规定，现计划正高级专家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人，每人工作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天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版块（每个板块：第一天研究设计，第二天汇总讨论定稿），按正高级专家咨询费</t>
    </r>
    <r>
      <rPr>
        <sz val="10"/>
        <color rgb="FF000000"/>
        <rFont val="Times New Roman"/>
        <charset val="134"/>
      </rPr>
      <t>2500</t>
    </r>
    <r>
      <rPr>
        <sz val="10"/>
        <color rgb="FF000000"/>
        <rFont val="宋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天（含税）测算。
2.培训课程录制6万元：按每个板块3个课程，每个课程有2位主讲专家，每个板块工作2天，主讲专家劳务费2500元/天（含税），专家视频课程录制涉及排练、多次分段录制等工作。
3.培训课程制作4万元：按4个板块，每个板块3个课程，每个版块视频制作费1万元测算。
4.线上培训平台搭建15万元：用于线上培训平台专题栏目设置、培训内容管理、考核、学员管理等。开设专栏（包括功能菜单、专题设置、课程设置、网页美化）20000元；项目期间持续性培训内容课件上传、管理维护费用30000元；考核设置、学员管理维护费用30000万元；平台功能使用费20000元；服务器存储、网络流量费用50000元。按照项目人员培训大纲，搭建线上培训平台系统，实现医共体医生的能力提升。开发人工费用2万/人月，按3人、2.5个月开发，团队共同合作开发共计60天开发时间计算。</t>
    </r>
  </si>
  <si>
    <t>教材制作与印制</t>
  </si>
  <si>
    <t>按照每本指南约150元计算，共印刷指南1200套，供1145个镇与57家县级综合医院使用。</t>
  </si>
  <si>
    <t>社区肝病管理人员培训</t>
  </si>
  <si>
    <r>
      <rPr>
        <sz val="10"/>
        <color rgb="FF000000"/>
        <rFont val="宋体"/>
        <charset val="134"/>
      </rPr>
      <t>诊疗技术培训75万元：负责组织医疗机构对25个县（市）肝病管理人员开展病毒性肝炎、肝硬化、肝癌等诊疗培训，每个县（市）培训6人次，每人进修活动一个月，按照</t>
    </r>
    <r>
      <rPr>
        <sz val="10"/>
        <color rgb="FF000000"/>
        <rFont val="Times New Roman"/>
        <charset val="134"/>
      </rPr>
      <t>5000</t>
    </r>
    <r>
      <rPr>
        <sz val="10"/>
        <color rgb="FF000000"/>
        <rFont val="宋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人测算。</t>
    </r>
  </si>
  <si>
    <t>省级宣传资料制作、投放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</si>
  <si>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.媒体发布：项目期间，以深度文章在省级媒体专版发布，每次</t>
    </r>
    <r>
      <rPr>
        <sz val="10"/>
        <color rgb="FF000000"/>
        <rFont val="Times New Roman"/>
        <charset val="134"/>
      </rPr>
      <t>0.5</t>
    </r>
    <r>
      <rPr>
        <sz val="10"/>
        <color rgb="FF000000"/>
        <rFont val="宋体"/>
        <charset val="134"/>
      </rPr>
      <t>版面，共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版面，合计</t>
    </r>
    <r>
      <rPr>
        <sz val="10"/>
        <color rgb="FF000000"/>
        <rFont val="Times New Roman"/>
        <charset val="134"/>
      </rPr>
      <t>32</t>
    </r>
    <r>
      <rPr>
        <sz val="10"/>
        <color rgb="FF000000"/>
        <rFont val="宋体"/>
        <charset val="134"/>
      </rPr>
      <t>万元。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.访谈直播：组织临床医学、公共卫生等领域专家以线上访谈的形式进行肝炎早防早治宣传科普。项目期间举办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场，每场费用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万元，合计</t>
    </r>
    <r>
      <rPr>
        <sz val="10"/>
        <color rgb="FF000000"/>
        <rFont val="Times New Roman"/>
        <charset val="134"/>
      </rPr>
      <t>32</t>
    </r>
    <r>
      <rPr>
        <sz val="10"/>
        <color rgb="FF000000"/>
        <rFont val="宋体"/>
        <charset val="134"/>
      </rPr>
      <t>万元。</t>
    </r>
    <r>
      <rPr>
        <sz val="10"/>
        <color rgb="FF000000"/>
        <rFont val="Times New Roman"/>
        <charset val="134"/>
      </rPr>
      <t xml:space="preserve">
3</t>
    </r>
    <r>
      <rPr>
        <sz val="10"/>
        <color rgb="FF000000"/>
        <rFont val="宋体"/>
        <charset val="134"/>
      </rPr>
      <t>.宣传产品：项目期间，制作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辑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分钟视频，总结项目取得的成效，每辑费用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万元，小计</t>
    </r>
    <r>
      <rPr>
        <sz val="10"/>
        <color rgb="FF000000"/>
        <rFont val="Times New Roman"/>
        <charset val="134"/>
      </rPr>
      <t>16</t>
    </r>
    <r>
      <rPr>
        <sz val="10"/>
        <color rgb="FF000000"/>
        <rFont val="宋体"/>
        <charset val="134"/>
      </rPr>
      <t>万元。制作平面宣传产品，如长图（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条，小计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万元）、文字信息流（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条，小计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万元），</t>
    </r>
    <r>
      <rPr>
        <sz val="10"/>
        <color rgb="FF000000"/>
        <rFont val="Times New Roman"/>
        <charset val="134"/>
      </rPr>
      <t>H5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次小计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万元）。上述合计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宋体"/>
        <charset val="134"/>
      </rPr>
      <t>万元</t>
    </r>
    <r>
      <rPr>
        <sz val="10"/>
        <color rgb="FF000000"/>
        <rFont val="Times New Roman"/>
        <charset val="134"/>
      </rPr>
      <t xml:space="preserve">
4</t>
    </r>
    <r>
      <rPr>
        <sz val="10"/>
        <color rgb="FF000000"/>
        <rFont val="宋体"/>
        <charset val="134"/>
      </rPr>
      <t>.材料汇编：项目宣传材料汇编成册并打印归档，合计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万元。</t>
    </r>
  </si>
  <si>
    <t>病毒性肝炎早防早治项目筛查及质量控制培训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</si>
  <si>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筛查技术培训费</t>
    </r>
    <r>
      <rPr>
        <sz val="10"/>
        <color rgb="FF000000"/>
        <rFont val="Times New Roman"/>
        <charset val="134"/>
      </rPr>
      <t>125</t>
    </r>
    <r>
      <rPr>
        <sz val="10"/>
        <color rgb="FF000000"/>
        <rFont val="宋体"/>
        <charset val="134"/>
      </rPr>
      <t>万元，用于在</t>
    </r>
    <r>
      <rPr>
        <sz val="10"/>
        <color rgb="FF000000"/>
        <rFont val="Times New Roman"/>
        <charset val="134"/>
      </rPr>
      <t>57</t>
    </r>
    <r>
      <rPr>
        <sz val="10"/>
        <color rgb="FF000000"/>
        <rFont val="宋体"/>
        <charset val="134"/>
      </rPr>
      <t>个县举办筛查、检测结果解读、随访、信息报告、转诊、健康教育等培训，每个县培训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名师资，每人每天</t>
    </r>
    <r>
      <rPr>
        <sz val="10"/>
        <color rgb="FF000000"/>
        <rFont val="Times New Roman"/>
        <charset val="134"/>
      </rPr>
      <t>550</t>
    </r>
    <r>
      <rPr>
        <sz val="10"/>
        <color rgb="FF000000"/>
        <rFont val="宋体"/>
        <charset val="134"/>
      </rPr>
      <t>元，培训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期，每期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天。培训对象主要为基层医疗机构医务人员。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宋体"/>
        <charset val="134"/>
      </rPr>
      <t>质量控制培训及研讨费：</t>
    </r>
    <r>
      <rPr>
        <sz val="10"/>
        <color rgb="FF000000"/>
        <rFont val="Times New Roman"/>
        <charset val="134"/>
      </rPr>
      <t>21</t>
    </r>
    <r>
      <rPr>
        <sz val="10"/>
        <color rgb="FF000000"/>
        <rFont val="宋体"/>
        <charset val="134"/>
      </rPr>
      <t>万元，拟用于举办质量控制、数据清洗和分析等培训；以及举办方案论证、项目技术评估和卫生经济学评估等研讨会。计划分片区举办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期，每期</t>
    </r>
    <r>
      <rPr>
        <sz val="10"/>
        <color rgb="FF000000"/>
        <rFont val="Times New Roman"/>
        <charset val="134"/>
      </rPr>
      <t>48</t>
    </r>
    <r>
      <rPr>
        <sz val="10"/>
        <color rgb="FF000000"/>
        <rFont val="宋体"/>
        <charset val="134"/>
      </rPr>
      <t>人，会期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天，按照550元/人天测算。</t>
    </r>
  </si>
  <si>
    <t>项目督导、质控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</si>
  <si>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筛查现场调研指导差旅费和劳务补助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宋体"/>
        <charset val="134"/>
      </rPr>
      <t>万元：</t>
    </r>
    <r>
      <rPr>
        <sz val="10"/>
        <color rgb="FF000000"/>
        <rFont val="Times New Roman"/>
        <charset val="134"/>
      </rPr>
      <t>57</t>
    </r>
    <r>
      <rPr>
        <sz val="10"/>
        <color rgb="FF000000"/>
        <rFont val="宋体"/>
        <charset val="134"/>
      </rPr>
      <t>个县，每个县安排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位专家，每人每天</t>
    </r>
    <r>
      <rPr>
        <sz val="10"/>
        <color rgb="FF000000"/>
        <rFont val="Times New Roman"/>
        <charset val="134"/>
      </rPr>
      <t>550</t>
    </r>
    <r>
      <rPr>
        <sz val="10"/>
        <color rgb="FF000000"/>
        <rFont val="宋体"/>
        <charset val="134"/>
      </rPr>
      <t>元食宿补助，每个县合计安排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天（分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次），专家劳务补助</t>
    </r>
    <r>
      <rPr>
        <sz val="10"/>
        <color rgb="FF000000"/>
        <rFont val="Times New Roman"/>
        <charset val="134"/>
      </rPr>
      <t>500</t>
    </r>
    <r>
      <rPr>
        <sz val="10"/>
        <color rgb="FF000000"/>
        <rFont val="宋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天。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宋体"/>
        <charset val="134"/>
      </rPr>
      <t>材料费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万元：包括书籍文献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万（方案编制所需书籍、文献等）；方案及问卷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万（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宋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份</t>
    </r>
    <r>
      <rPr>
        <sz val="10"/>
        <color rgb="FF000000"/>
        <rFont val="Times New Roman"/>
        <charset val="134"/>
      </rPr>
      <t>×10</t>
    </r>
    <r>
      <rPr>
        <sz val="10"/>
        <color rgb="FF000000"/>
        <rFont val="宋体"/>
        <charset val="134"/>
      </rPr>
      <t>份</t>
    </r>
    <r>
      <rPr>
        <sz val="10"/>
        <color rgb="FF000000"/>
        <rFont val="Times New Roman"/>
        <charset val="134"/>
      </rPr>
      <t>×57</t>
    </r>
    <r>
      <rPr>
        <sz val="10"/>
        <color rgb="FF000000"/>
        <rFont val="宋体"/>
        <charset val="134"/>
      </rPr>
      <t>县）；技术培训材料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万（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宋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份</t>
    </r>
    <r>
      <rPr>
        <sz val="10"/>
        <color rgb="FF000000"/>
        <rFont val="Times New Roman"/>
        <charset val="134"/>
      </rPr>
      <t>×10</t>
    </r>
    <r>
      <rPr>
        <sz val="10"/>
        <color rgb="FF000000"/>
        <rFont val="宋体"/>
        <charset val="134"/>
      </rPr>
      <t>份</t>
    </r>
    <r>
      <rPr>
        <sz val="10"/>
        <color rgb="FF000000"/>
        <rFont val="Times New Roman"/>
        <charset val="134"/>
      </rPr>
      <t>×57</t>
    </r>
    <r>
      <rPr>
        <sz val="10"/>
        <color rgb="FF000000"/>
        <rFont val="宋体"/>
        <charset val="134"/>
      </rPr>
      <t>县）；中期、总结报告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万（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宋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份</t>
    </r>
    <r>
      <rPr>
        <sz val="10"/>
        <color rgb="FF000000"/>
        <rFont val="Times New Roman"/>
        <charset val="134"/>
      </rPr>
      <t>×10</t>
    </r>
    <r>
      <rPr>
        <sz val="10"/>
        <color rgb="FF000000"/>
        <rFont val="宋体"/>
        <charset val="134"/>
      </rPr>
      <t>份</t>
    </r>
    <r>
      <rPr>
        <sz val="10"/>
        <color rgb="FF000000"/>
        <rFont val="Times New Roman"/>
        <charset val="134"/>
      </rPr>
      <t>×57</t>
    </r>
    <r>
      <rPr>
        <sz val="10"/>
        <color rgb="FF000000"/>
        <rFont val="宋体"/>
        <charset val="134"/>
      </rPr>
      <t>县）；其他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万（材料寄送或项目开展所需其他材料费）</t>
    </r>
  </si>
  <si>
    <t>项目评估</t>
  </si>
  <si>
    <t>1.现场调研评估9万：550元/人天×3人×1天×57县=9万元；
2.参加省内培训或学术会议11万：（2800元/人次×4人×10次）= 11万元。
3.研究生和项目人员补助43万：包括研究生质控和分析补助18万（0.013元/份×13638395份=18万元）、项目人员数据质控和分析补助25万（0.018元/份×13638395份=25万元）；
4.专家咨询/劳务费7万：方案编制、报告审查、筛查技术指导、数据质控及分析、评估报告撰写等专家咨询费/劳务费，按照800元/次×30人次×3年=7万元测算。</t>
  </si>
  <si>
    <t>印制宣传海报、折页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</si>
  <si>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宋体"/>
        <charset val="134"/>
      </rPr>
      <t>印制宣传海报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万元：分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年共印制宣传海报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万份，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份（含配送费用）。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宋体"/>
        <charset val="134"/>
      </rPr>
      <t>印制宣传折页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万册：分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年印制宣传小折页</t>
    </r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万册，</t>
    </r>
    <r>
      <rPr>
        <sz val="10"/>
        <color rgb="FF000000"/>
        <rFont val="Times New Roman"/>
        <charset val="134"/>
      </rPr>
      <t>0.25</t>
    </r>
    <r>
      <rPr>
        <sz val="10"/>
        <color rgb="FF000000"/>
        <rFont val="宋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册（含配送费用）。</t>
    </r>
  </si>
  <si>
    <t>消除乙肝母婴传播宣传</t>
  </si>
  <si>
    <t>宣传费用30万元：采用宣传册、微信推文推广、宣传片等方式宣传。</t>
  </si>
  <si>
    <t>消除乙肝母婴传播培训</t>
  </si>
  <si>
    <r>
      <rPr>
        <sz val="10"/>
        <color rgb="FF000000"/>
        <rFont val="宋体"/>
        <charset val="134"/>
      </rPr>
      <t>培训费用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万元：用于在</t>
    </r>
    <r>
      <rPr>
        <sz val="10"/>
        <color rgb="FF000000"/>
        <rFont val="Times New Roman"/>
        <charset val="134"/>
      </rPr>
      <t>57</t>
    </r>
    <r>
      <rPr>
        <sz val="10"/>
        <color rgb="FF000000"/>
        <rFont val="宋体"/>
        <charset val="134"/>
      </rPr>
      <t>个县举办消除乙肝母婴传播培训，提升医护人员的能力和孕产夫妇的健康意识，早筛早治、阻断母婴传播。每人每天</t>
    </r>
    <r>
      <rPr>
        <sz val="10"/>
        <color rgb="FF000000"/>
        <rFont val="Times New Roman"/>
        <charset val="134"/>
      </rPr>
      <t>550</t>
    </r>
    <r>
      <rPr>
        <sz val="10"/>
        <color rgb="FF000000"/>
        <rFont val="宋体"/>
        <charset val="134"/>
      </rPr>
      <t>元，预计培训每年</t>
    </r>
    <r>
      <rPr>
        <sz val="10"/>
        <color rgb="FF000000"/>
        <rFont val="Times New Roman"/>
        <charset val="134"/>
      </rPr>
      <t>120</t>
    </r>
    <r>
      <rPr>
        <sz val="10"/>
        <color rgb="FF000000"/>
        <rFont val="宋体"/>
        <charset val="134"/>
      </rPr>
      <t>人，每年培训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期，每期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天。</t>
    </r>
  </si>
  <si>
    <t>消除乙肝母婴传播工作评估</t>
  </si>
  <si>
    <r>
      <rPr>
        <sz val="10"/>
        <color rgb="FF000000"/>
        <rFont val="宋体"/>
        <charset val="134"/>
      </rPr>
      <t>现场评估指导差旅费和劳务补助</t>
    </r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万元：</t>
    </r>
    <r>
      <rPr>
        <sz val="10"/>
        <color rgb="FF000000"/>
        <rFont val="Times New Roman"/>
        <charset val="134"/>
      </rPr>
      <t>57</t>
    </r>
    <r>
      <rPr>
        <sz val="10"/>
        <color rgb="FF000000"/>
        <rFont val="宋体"/>
        <charset val="134"/>
      </rPr>
      <t>个县，每个县安排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位专家，每人每天</t>
    </r>
    <r>
      <rPr>
        <sz val="10"/>
        <color rgb="FF000000"/>
        <rFont val="Times New Roman"/>
        <charset val="134"/>
      </rPr>
      <t>550</t>
    </r>
    <r>
      <rPr>
        <sz val="10"/>
        <color rgb="FF000000"/>
        <rFont val="宋体"/>
        <charset val="134"/>
      </rPr>
      <t>元食宿补助，每个县合计安排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天，专家劳务补助</t>
    </r>
    <r>
      <rPr>
        <sz val="10"/>
        <color rgb="FF000000"/>
        <rFont val="Times New Roman"/>
        <charset val="134"/>
      </rPr>
      <t>500</t>
    </r>
    <r>
      <rPr>
        <sz val="10"/>
        <color rgb="FF000000"/>
        <rFont val="宋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天。</t>
    </r>
  </si>
  <si>
    <r>
      <rPr>
        <sz val="10"/>
        <color rgb="FF000000"/>
        <rFont val="宋体"/>
        <charset val="134"/>
      </rPr>
      <t>诊疗技术培训48万元：分片区负责对</t>
    </r>
    <r>
      <rPr>
        <sz val="10"/>
        <color rgb="FF000000"/>
        <rFont val="Times New Roman"/>
        <charset val="134"/>
      </rPr>
      <t>16</t>
    </r>
    <r>
      <rPr>
        <sz val="10"/>
        <color rgb="FF000000"/>
        <rFont val="宋体"/>
        <charset val="134"/>
      </rPr>
      <t>个县（市）肝病管理人员开展病毒性肝炎、肝硬化、肝癌等诊疗培训，每个县（市）培训6人次，每人进修活动一个月，按照</t>
    </r>
    <r>
      <rPr>
        <sz val="10"/>
        <color rgb="FF000000"/>
        <rFont val="Times New Roman"/>
        <charset val="134"/>
      </rPr>
      <t>5000</t>
    </r>
    <r>
      <rPr>
        <sz val="10"/>
        <color rgb="FF000000"/>
        <rFont val="宋体"/>
        <charset val="134"/>
      </rPr>
      <t>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人测算。</t>
    </r>
  </si>
  <si>
    <t>肝病社区管理和肝病学术交流会议</t>
  </si>
  <si>
    <r>
      <rPr>
        <sz val="10"/>
        <color rgb="FF000000"/>
        <rFont val="宋体"/>
        <charset val="134"/>
      </rPr>
      <t>对负责片区社区管理人员、专家和工作人员召开学术交流研讨会议，参会规模计划4</t>
    </r>
    <r>
      <rPr>
        <sz val="10"/>
        <color rgb="FF000000"/>
        <rFont val="Times New Roman"/>
        <charset val="134"/>
      </rPr>
      <t>0</t>
    </r>
    <r>
      <rPr>
        <sz val="10"/>
        <color rgb="FF000000"/>
        <rFont val="宋体"/>
        <charset val="134"/>
      </rPr>
      <t>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场，会期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天，按照500元/人日标准测算。</t>
    </r>
  </si>
  <si>
    <t>附件2</t>
  </si>
  <si>
    <t>病毒性肝炎早防早治项目资金分配表</t>
  </si>
  <si>
    <t>2024年预算金额</t>
  </si>
  <si>
    <t>广州市第八人民医院</t>
  </si>
  <si>
    <t>深圳市第三人民医院</t>
  </si>
  <si>
    <t>累计接种人数（20-70岁）</t>
  </si>
  <si>
    <t>非珠57县</t>
  </si>
  <si>
    <t>非珠</t>
  </si>
  <si>
    <t>地市</t>
  </si>
  <si>
    <t>仅完成一剂</t>
  </si>
  <si>
    <t>仅完成二剂</t>
  </si>
  <si>
    <t>仅完成三剂</t>
  </si>
  <si>
    <t>完成四剂</t>
  </si>
  <si>
    <t>县区</t>
  </si>
  <si>
    <t>七普</t>
  </si>
  <si>
    <t>七普-接种</t>
  </si>
  <si>
    <t>农村地区</t>
  </si>
  <si>
    <t>非珠三角</t>
  </si>
  <si>
    <t>广州市</t>
  </si>
  <si>
    <t>荔湾区</t>
  </si>
  <si>
    <t>越秀区</t>
  </si>
  <si>
    <t>深圳市</t>
  </si>
  <si>
    <t>海珠区</t>
  </si>
  <si>
    <t>珠海市</t>
  </si>
  <si>
    <t>天河区</t>
  </si>
  <si>
    <t>南方医科大学南方医院</t>
  </si>
  <si>
    <t>白云区</t>
  </si>
  <si>
    <t>佛山市</t>
  </si>
  <si>
    <t>黄埔区</t>
  </si>
  <si>
    <t>番禺区</t>
  </si>
  <si>
    <t>花都区</t>
  </si>
  <si>
    <t>始兴县</t>
  </si>
  <si>
    <t>南沙区</t>
  </si>
  <si>
    <t>仁化县</t>
  </si>
  <si>
    <t>增城区</t>
  </si>
  <si>
    <t>翁源县</t>
  </si>
  <si>
    <t>从化区</t>
  </si>
  <si>
    <t>乳源瑶族自治县</t>
  </si>
  <si>
    <t>武江区</t>
  </si>
  <si>
    <t>新丰县</t>
  </si>
  <si>
    <t>浈江区</t>
  </si>
  <si>
    <t>乐昌市</t>
  </si>
  <si>
    <t>曲江区</t>
  </si>
  <si>
    <t>南雄市</t>
  </si>
  <si>
    <t>东莞市</t>
  </si>
  <si>
    <t>南澳县</t>
  </si>
  <si>
    <t>中山市</t>
  </si>
  <si>
    <t>台山市</t>
  </si>
  <si>
    <t>开平市</t>
  </si>
  <si>
    <t>罗湖区</t>
  </si>
  <si>
    <t>鹤山市</t>
  </si>
  <si>
    <t>福田区</t>
  </si>
  <si>
    <t>恩平市</t>
  </si>
  <si>
    <t>南山区</t>
  </si>
  <si>
    <t>宝安区</t>
  </si>
  <si>
    <t>龙岗区</t>
  </si>
  <si>
    <t>遂溪县</t>
  </si>
  <si>
    <t>盐田区</t>
  </si>
  <si>
    <t>徐闻县</t>
  </si>
  <si>
    <t>龙华区</t>
  </si>
  <si>
    <t>廉江市</t>
  </si>
  <si>
    <t>坪山区</t>
  </si>
  <si>
    <t>雷州市</t>
  </si>
  <si>
    <t>光明区</t>
  </si>
  <si>
    <t>吴川市</t>
  </si>
  <si>
    <t>大鹏新区</t>
  </si>
  <si>
    <t>香洲区</t>
  </si>
  <si>
    <t>斗门区</t>
  </si>
  <si>
    <t>高州市</t>
  </si>
  <si>
    <t>金湾区</t>
  </si>
  <si>
    <t>化州市</t>
  </si>
  <si>
    <t>龙湖区</t>
  </si>
  <si>
    <t>信宜市</t>
  </si>
  <si>
    <t>金平区</t>
  </si>
  <si>
    <t>濠江区</t>
  </si>
  <si>
    <t>潮阳区</t>
  </si>
  <si>
    <t>广宁县</t>
  </si>
  <si>
    <t>潮南区</t>
  </si>
  <si>
    <t>怀集县</t>
  </si>
  <si>
    <t>澄海区</t>
  </si>
  <si>
    <t>封开县</t>
  </si>
  <si>
    <t>德庆县</t>
  </si>
  <si>
    <t>汕尾城区</t>
  </si>
  <si>
    <t>四会市</t>
  </si>
  <si>
    <t>海丰县</t>
  </si>
  <si>
    <t>陆河县</t>
  </si>
  <si>
    <t>陆丰市</t>
  </si>
  <si>
    <t>博罗县</t>
  </si>
  <si>
    <t>清城区</t>
  </si>
  <si>
    <t>惠东县</t>
  </si>
  <si>
    <t>佛冈县</t>
  </si>
  <si>
    <t>龙门县</t>
  </si>
  <si>
    <t>阳山县</t>
  </si>
  <si>
    <t>连山壮族瑶族自治县</t>
  </si>
  <si>
    <t>连南瑶族自治县</t>
  </si>
  <si>
    <t>大埔县</t>
  </si>
  <si>
    <t>清新区</t>
  </si>
  <si>
    <t>丰顺县</t>
  </si>
  <si>
    <t>英德市</t>
  </si>
  <si>
    <t>五华县</t>
  </si>
  <si>
    <t>连州市</t>
  </si>
  <si>
    <t>平远县</t>
  </si>
  <si>
    <t>江城区</t>
  </si>
  <si>
    <t>蕉岭县</t>
  </si>
  <si>
    <t>阳西县</t>
  </si>
  <si>
    <t>兴宁市</t>
  </si>
  <si>
    <t>阳东区</t>
  </si>
  <si>
    <t>阳春市</t>
  </si>
  <si>
    <t>云城区</t>
  </si>
  <si>
    <t>新兴县</t>
  </si>
  <si>
    <t>郁南县</t>
  </si>
  <si>
    <t>云安区</t>
  </si>
  <si>
    <t>罗定市</t>
  </si>
  <si>
    <t>赤坎区</t>
  </si>
  <si>
    <t>紫金县</t>
  </si>
  <si>
    <t>霞山区</t>
  </si>
  <si>
    <t>龙川县</t>
  </si>
  <si>
    <t>坡头区</t>
  </si>
  <si>
    <t>连平县</t>
  </si>
  <si>
    <t>麻章区</t>
  </si>
  <si>
    <t>和平县</t>
  </si>
  <si>
    <t>东源县</t>
  </si>
  <si>
    <t>梅江区</t>
  </si>
  <si>
    <t>梅县区</t>
  </si>
  <si>
    <t>茂南区</t>
  </si>
  <si>
    <t>电白区</t>
  </si>
  <si>
    <t>饶平县</t>
  </si>
  <si>
    <t>榕城区</t>
  </si>
  <si>
    <t>揭西县</t>
  </si>
  <si>
    <t>揭东区</t>
  </si>
  <si>
    <t>惠来县</t>
  </si>
  <si>
    <t>普宁市</t>
  </si>
  <si>
    <t>蓬江区</t>
  </si>
  <si>
    <t>江海区</t>
  </si>
  <si>
    <t>新会区</t>
  </si>
  <si>
    <t>惠城区</t>
  </si>
  <si>
    <t>惠阳区</t>
  </si>
  <si>
    <t>大亚湾区</t>
  </si>
  <si>
    <t>仲恺区</t>
  </si>
  <si>
    <t>源城区</t>
  </si>
  <si>
    <t>江东新区</t>
  </si>
  <si>
    <t>禅城区</t>
  </si>
  <si>
    <t>南海区</t>
  </si>
  <si>
    <t>顺德区</t>
  </si>
  <si>
    <t>三水区</t>
  </si>
  <si>
    <t>高明区</t>
  </si>
  <si>
    <t>端州区</t>
  </si>
  <si>
    <t>鼎湖区</t>
  </si>
  <si>
    <t>高要区</t>
  </si>
  <si>
    <t>湘桥区</t>
  </si>
  <si>
    <t>潮安区</t>
  </si>
  <si>
    <t>枫溪区</t>
  </si>
  <si>
    <t>石岐区</t>
  </si>
  <si>
    <t>东区</t>
  </si>
  <si>
    <t>西区</t>
  </si>
  <si>
    <t>南区</t>
  </si>
  <si>
    <t>火炬高技术产业开发区</t>
  </si>
  <si>
    <t>黄圃镇</t>
  </si>
  <si>
    <t>阜沙镇</t>
  </si>
  <si>
    <t>南头镇</t>
  </si>
  <si>
    <t>东凤镇</t>
  </si>
  <si>
    <t>小榄镇</t>
  </si>
  <si>
    <t>古镇</t>
  </si>
  <si>
    <t>东升镇</t>
  </si>
  <si>
    <t>沙溪镇</t>
  </si>
  <si>
    <t>大涌镇</t>
  </si>
  <si>
    <t>横栏镇</t>
  </si>
  <si>
    <t>港口镇</t>
  </si>
  <si>
    <t>板芙镇</t>
  </si>
  <si>
    <t>神湾镇</t>
  </si>
  <si>
    <t>三乡镇</t>
  </si>
  <si>
    <t>坦洲镇</t>
  </si>
  <si>
    <t>南朗镇</t>
  </si>
  <si>
    <t>民众镇</t>
  </si>
  <si>
    <t>三角镇</t>
  </si>
  <si>
    <t>五桂山</t>
  </si>
  <si>
    <t>常 平</t>
  </si>
  <si>
    <t>横 沥</t>
  </si>
  <si>
    <t>东 坑</t>
  </si>
  <si>
    <t>桥 头</t>
  </si>
  <si>
    <t>厚 街</t>
  </si>
  <si>
    <t>沙 田</t>
  </si>
  <si>
    <t>长 安</t>
  </si>
  <si>
    <t>南 城</t>
  </si>
  <si>
    <t>万 江</t>
  </si>
  <si>
    <t>中 堂</t>
  </si>
  <si>
    <t>道 滘</t>
  </si>
  <si>
    <t>望牛墩</t>
  </si>
  <si>
    <t>麻 涌</t>
  </si>
  <si>
    <t>寮 步</t>
  </si>
  <si>
    <t>大 朗</t>
  </si>
  <si>
    <t>黄 江</t>
  </si>
  <si>
    <t>大岭山</t>
  </si>
  <si>
    <t>东 城</t>
  </si>
  <si>
    <t>茶 山</t>
  </si>
  <si>
    <t>企 石</t>
  </si>
  <si>
    <t>石 排</t>
  </si>
  <si>
    <t>石 碣</t>
  </si>
  <si>
    <t>高 埗</t>
  </si>
  <si>
    <t>樟木头</t>
  </si>
  <si>
    <t>清 溪</t>
  </si>
  <si>
    <t>塘 厦</t>
  </si>
  <si>
    <t>凤 岗</t>
  </si>
  <si>
    <t>谢 岗</t>
  </si>
  <si>
    <t>莞 城</t>
  </si>
  <si>
    <t>虎 门</t>
  </si>
  <si>
    <t>石 龙</t>
  </si>
  <si>
    <t>洪 梅</t>
  </si>
  <si>
    <t>松山湖</t>
  </si>
  <si>
    <t>20-70</t>
  </si>
  <si>
    <t>_全部</t>
  </si>
  <si>
    <t>440103</t>
  </si>
  <si>
    <t>440104</t>
  </si>
  <si>
    <t>440105</t>
  </si>
  <si>
    <t>440106</t>
  </si>
  <si>
    <t>440111</t>
  </si>
  <si>
    <t>440112</t>
  </si>
  <si>
    <t>440113</t>
  </si>
  <si>
    <t>440114</t>
  </si>
  <si>
    <t>440115</t>
  </si>
  <si>
    <t>440117</t>
  </si>
  <si>
    <t>440118</t>
  </si>
  <si>
    <t>440203</t>
  </si>
  <si>
    <t>440204</t>
  </si>
  <si>
    <t>440205</t>
  </si>
  <si>
    <t>440222</t>
  </si>
  <si>
    <t>440224</t>
  </si>
  <si>
    <t>440229</t>
  </si>
  <si>
    <t>440232</t>
  </si>
  <si>
    <t>440233</t>
  </si>
  <si>
    <t>440281</t>
  </si>
  <si>
    <t>440282</t>
  </si>
  <si>
    <t>440303</t>
  </si>
  <si>
    <t>440304</t>
  </si>
  <si>
    <t>440305</t>
  </si>
  <si>
    <t>440306</t>
  </si>
  <si>
    <t>440307</t>
  </si>
  <si>
    <t>440308</t>
  </si>
  <si>
    <t>440309</t>
  </si>
  <si>
    <t>440310</t>
  </si>
  <si>
    <t>440311</t>
  </si>
  <si>
    <t>440402</t>
  </si>
  <si>
    <t>440403</t>
  </si>
  <si>
    <t>440404</t>
  </si>
  <si>
    <t>440507</t>
  </si>
  <si>
    <t>440511</t>
  </si>
  <si>
    <t>440512</t>
  </si>
  <si>
    <t>440513</t>
  </si>
  <si>
    <t>440514</t>
  </si>
  <si>
    <t>440515</t>
  </si>
  <si>
    <t>440523</t>
  </si>
  <si>
    <t>440604</t>
  </si>
  <si>
    <t>440605</t>
  </si>
  <si>
    <t>440606</t>
  </si>
  <si>
    <t>440607</t>
  </si>
  <si>
    <t>440608</t>
  </si>
  <si>
    <t>440703</t>
  </si>
  <si>
    <t>440704</t>
  </si>
  <si>
    <t>440705</t>
  </si>
  <si>
    <t>440781</t>
  </si>
  <si>
    <t>440783</t>
  </si>
  <si>
    <t>440784</t>
  </si>
  <si>
    <t>440785</t>
  </si>
  <si>
    <t>440802</t>
  </si>
  <si>
    <t>440803</t>
  </si>
  <si>
    <t>440804</t>
  </si>
  <si>
    <t>440811</t>
  </si>
  <si>
    <t>440823</t>
  </si>
  <si>
    <t>440825</t>
  </si>
  <si>
    <t>440881</t>
  </si>
  <si>
    <t>440882</t>
  </si>
  <si>
    <t>440883</t>
  </si>
  <si>
    <t>440902</t>
  </si>
  <si>
    <t>440904</t>
  </si>
  <si>
    <t>440981</t>
  </si>
  <si>
    <t>440982</t>
  </si>
  <si>
    <t>440983</t>
  </si>
  <si>
    <t>441202</t>
  </si>
  <si>
    <t>441203</t>
  </si>
  <si>
    <t>441204</t>
  </si>
  <si>
    <t>441223</t>
  </si>
  <si>
    <t>441224</t>
  </si>
  <si>
    <t>441225</t>
  </si>
  <si>
    <t>441226</t>
  </si>
  <si>
    <t>441284</t>
  </si>
  <si>
    <t>441302</t>
  </si>
  <si>
    <t>441303</t>
  </si>
  <si>
    <t>441322</t>
  </si>
  <si>
    <t>441323</t>
  </si>
  <si>
    <t>441324</t>
  </si>
  <si>
    <t>441402</t>
  </si>
  <si>
    <t>441403</t>
  </si>
  <si>
    <t>441422</t>
  </si>
  <si>
    <t>441423</t>
  </si>
  <si>
    <t>441424</t>
  </si>
  <si>
    <t>441426</t>
  </si>
  <si>
    <t>441427</t>
  </si>
  <si>
    <t>441481</t>
  </si>
  <si>
    <t>城区</t>
  </si>
  <si>
    <t>441502</t>
  </si>
  <si>
    <t>441521</t>
  </si>
  <si>
    <t>441523</t>
  </si>
  <si>
    <t>441581</t>
  </si>
  <si>
    <t>441602</t>
  </si>
  <si>
    <t>441621</t>
  </si>
  <si>
    <t>441622</t>
  </si>
  <si>
    <t>441623</t>
  </si>
  <si>
    <t>441624</t>
  </si>
  <si>
    <t>441625</t>
  </si>
  <si>
    <t>441702</t>
  </si>
  <si>
    <t>441704</t>
  </si>
  <si>
    <t>441721</t>
  </si>
  <si>
    <t>441781</t>
  </si>
  <si>
    <t>441802</t>
  </si>
  <si>
    <t>441803</t>
  </si>
  <si>
    <t>441821</t>
  </si>
  <si>
    <t>441823</t>
  </si>
  <si>
    <t>441825</t>
  </si>
  <si>
    <t>441826</t>
  </si>
  <si>
    <t>441881</t>
  </si>
  <si>
    <t>441882</t>
  </si>
  <si>
    <t>市辖区</t>
  </si>
  <si>
    <t>441901</t>
  </si>
  <si>
    <t>442001</t>
  </si>
  <si>
    <t>445102</t>
  </si>
  <si>
    <t>445103</t>
  </si>
  <si>
    <t>445122</t>
  </si>
  <si>
    <t>445202</t>
  </si>
  <si>
    <t>445203</t>
  </si>
  <si>
    <t>445222</t>
  </si>
  <si>
    <t>445224</t>
  </si>
  <si>
    <t>445281</t>
  </si>
  <si>
    <t>445302</t>
  </si>
  <si>
    <t>445303</t>
  </si>
  <si>
    <t>445321</t>
  </si>
  <si>
    <t>445322</t>
  </si>
  <si>
    <t>445381</t>
  </si>
  <si>
    <t>广东省病毒性肝炎早防早治项目2024年经费测算</t>
  </si>
  <si>
    <t>筛查费用</t>
  </si>
  <si>
    <r>
      <rPr>
        <sz val="11"/>
        <color theme="1"/>
        <rFont val="黑体"/>
        <charset val="134"/>
      </rPr>
      <t>省财政承担费用合计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（万元）</t>
    </r>
  </si>
  <si>
    <t>2024年筛查任务数（人）</t>
  </si>
  <si>
    <t>2024年筛查费用
（万元）</t>
  </si>
  <si>
    <t>省财政补助筛查费用
（万元）</t>
  </si>
  <si>
    <t>2024年宣传费用
（万元）</t>
  </si>
  <si>
    <t>信息化接口费用
（万元）</t>
  </si>
  <si>
    <t>C=（A-B/0.7)*10%</t>
  </si>
  <si>
    <t>D=C*20元/人</t>
  </si>
  <si>
    <t>E</t>
  </si>
  <si>
    <t>F=D*E</t>
  </si>
  <si>
    <t>H=F+G</t>
  </si>
  <si>
    <t>注：
1.筛查费用：对20-70岁人口10%筛查率开展乙肝表面抗原、表面抗体和丙肝表面抗体筛查，按照20元/人标准进行测算，含检测试剂、耗材、人员和组织动员等费用。
2.工作经费：用于宣传（按照省疾控中心、省妇幼各30万元，每个市本级16万元，每个县15万元安排）、会议培训（按照省疾控中心、省妇幼、南方医院、中山三院各10万元，每个县15万元安排）、督导评估、项目质控、组织专家论证、信息化系统改造等（按照省级104.61万，每个县7万元安排）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</si>
</sst>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4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1"/>
      <name val="Times New Roman"/>
      <charset val="0"/>
    </font>
    <font>
      <sz val="16"/>
      <color theme="1"/>
      <name val="Times New Roman"/>
      <charset val="134"/>
    </font>
    <font>
      <sz val="10"/>
      <name val="Arial"/>
      <charset val="0"/>
    </font>
    <font>
      <sz val="10"/>
      <name val="宋体"/>
      <charset val="0"/>
    </font>
    <font>
      <sz val="12"/>
      <name val="宋体"/>
      <charset val="134"/>
    </font>
    <font>
      <sz val="11"/>
      <color theme="1"/>
      <name val="Times New Roman"/>
      <charset val="0"/>
    </font>
    <font>
      <b/>
      <sz val="14"/>
      <name val="宋体"/>
      <charset val="134"/>
    </font>
    <font>
      <sz val="10"/>
      <name val="宋体"/>
      <charset val="134"/>
    </font>
    <font>
      <sz val="10"/>
      <color theme="1"/>
      <name val="黑体"/>
      <charset val="134"/>
    </font>
    <font>
      <sz val="11"/>
      <name val="宋体"/>
      <charset val="134"/>
    </font>
    <font>
      <sz val="14"/>
      <color theme="1"/>
      <name val="方正小标宋简体"/>
      <charset val="134"/>
    </font>
    <font>
      <sz val="10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rgb="FFFF0000"/>
      <name val="Times New Roman"/>
      <charset val="0"/>
    </font>
    <font>
      <sz val="11"/>
      <name val="黑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0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7" fillId="6" borderId="13" applyNumberFormat="0" applyAlignment="0" applyProtection="0">
      <alignment vertical="center"/>
    </xf>
    <xf numFmtId="0" fontId="45" fillId="24" borderId="17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0" borderId="0"/>
  </cellStyleXfs>
  <cellXfs count="1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9" fontId="1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Fill="1" applyBorder="1" applyAlignment="1" applyProtection="1"/>
    <xf numFmtId="0" fontId="5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0" fillId="3" borderId="0" xfId="0" applyFont="1" applyFill="1" applyBorder="1" applyAlignment="1" applyProtection="1"/>
    <xf numFmtId="0" fontId="11" fillId="3" borderId="0" xfId="0" applyFont="1" applyFill="1" applyBorder="1" applyAlignment="1" applyProtection="1"/>
    <xf numFmtId="0" fontId="5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3" fontId="1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17" fillId="0" borderId="0" xfId="0" applyFont="1" applyFill="1" applyAlignment="1">
      <alignment horizontal="left" vertical="center" wrapText="1"/>
    </xf>
    <xf numFmtId="43" fontId="17" fillId="0" borderId="0" xfId="0" applyNumberFormat="1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43" fontId="2" fillId="0" borderId="1" xfId="0" applyNumberFormat="1" applyFont="1" applyFill="1" applyBorder="1" applyAlignment="1">
      <alignment horizontal="right" vertical="center"/>
    </xf>
    <xf numFmtId="43" fontId="8" fillId="0" borderId="1" xfId="0" applyNumberFormat="1" applyFont="1" applyFill="1" applyBorder="1" applyAlignment="1">
      <alignment horizontal="right" vertical="center"/>
    </xf>
    <xf numFmtId="43" fontId="1" fillId="0" borderId="1" xfId="0" applyNumberFormat="1" applyFont="1" applyFill="1" applyBorder="1" applyAlignment="1">
      <alignment vertical="center"/>
    </xf>
    <xf numFmtId="43" fontId="1" fillId="0" borderId="1" xfId="0" applyNumberFormat="1" applyFont="1" applyFill="1" applyBorder="1" applyAlignment="1">
      <alignment horizontal="right" vertical="center"/>
    </xf>
    <xf numFmtId="43" fontId="1" fillId="0" borderId="1" xfId="0" applyNumberFormat="1" applyFont="1" applyFill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right" vertical="center"/>
    </xf>
    <xf numFmtId="43" fontId="1" fillId="0" borderId="0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43" fontId="2" fillId="0" borderId="3" xfId="0" applyNumberFormat="1" applyFont="1" applyFill="1" applyBorder="1" applyAlignment="1">
      <alignment vertical="center" wrapText="1"/>
    </xf>
    <xf numFmtId="43" fontId="1" fillId="0" borderId="3" xfId="0" applyNumberFormat="1" applyFont="1" applyFill="1" applyBorder="1" applyAlignment="1">
      <alignment vertical="center" wrapText="1"/>
    </xf>
    <xf numFmtId="43" fontId="1" fillId="0" borderId="1" xfId="0" applyNumberFormat="1" applyFont="1" applyFill="1" applyBorder="1" applyAlignment="1">
      <alignment vertical="center" wrapText="1"/>
    </xf>
    <xf numFmtId="43" fontId="3" fillId="0" borderId="0" xfId="0" applyNumberFormat="1" applyFont="1" applyFill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43" fontId="1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3" fontId="8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43" fontId="2" fillId="0" borderId="3" xfId="0" applyNumberFormat="1" applyFont="1" applyFill="1" applyBorder="1" applyAlignment="1">
      <alignment vertical="center"/>
    </xf>
    <xf numFmtId="43" fontId="1" fillId="0" borderId="3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分县年报格式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191;&#19996;&#30465;57&#20010;&#21439;&#21306;&#20057;&#32925;&#26089;&#38450;&#26089;&#27835;&#25509;&#31181;&#32463;&#36153;&#27979;&#31639;&#34920;202308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"/>
      <sheetName val="验算"/>
      <sheetName val="总表"/>
      <sheetName val="2024年预算（报）"/>
      <sheetName val="摸底数"/>
      <sheetName val="整齐意见稿"/>
      <sheetName val="2024年预算表（稿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地区</v>
          </cell>
          <cell r="C1" t="str">
            <v>七普20-70岁</v>
          </cell>
          <cell r="D1" t="str">
            <v>20-70岁人群</v>
          </cell>
          <cell r="E1" t="str">
            <v>摸底人口数中已有</v>
          </cell>
        </row>
        <row r="2">
          <cell r="C2" t="str">
            <v>常住人口数</v>
          </cell>
          <cell r="D2" t="str">
            <v>实际摸底常住人口数</v>
          </cell>
          <cell r="E2" t="str">
            <v>乙肝表面抗原筛查结果人数</v>
          </cell>
        </row>
        <row r="3">
          <cell r="C3" t="str">
            <v>（参考）</v>
          </cell>
        </row>
        <row r="3">
          <cell r="E3" t="str">
            <v>合计</v>
          </cell>
          <cell r="F3" t="str">
            <v>阴性</v>
          </cell>
          <cell r="G3" t="str">
            <v>阳性</v>
          </cell>
        </row>
        <row r="4">
          <cell r="B4" t="str">
            <v>合计</v>
          </cell>
          <cell r="C4">
            <v>21913807</v>
          </cell>
          <cell r="D4">
            <v>20974449</v>
          </cell>
          <cell r="E4">
            <v>8098723</v>
          </cell>
          <cell r="F4">
            <v>7154994</v>
          </cell>
          <cell r="G4">
            <v>943775</v>
          </cell>
        </row>
        <row r="5">
          <cell r="B5" t="str">
            <v>韶关市</v>
          </cell>
          <cell r="C5">
            <v>1168759</v>
          </cell>
          <cell r="D5">
            <v>1074160</v>
          </cell>
          <cell r="E5">
            <v>399214</v>
          </cell>
          <cell r="F5">
            <v>349794</v>
          </cell>
          <cell r="G5">
            <v>49420</v>
          </cell>
        </row>
        <row r="6">
          <cell r="B6" t="str">
            <v>    始兴县</v>
          </cell>
          <cell r="C6">
            <v>128153</v>
          </cell>
          <cell r="D6">
            <v>122510</v>
          </cell>
          <cell r="E6">
            <v>35399</v>
          </cell>
          <cell r="F6">
            <v>30801</v>
          </cell>
          <cell r="G6">
            <v>4598</v>
          </cell>
        </row>
        <row r="7">
          <cell r="B7" t="str">
            <v>    仁化县</v>
          </cell>
          <cell r="C7">
            <v>120986</v>
          </cell>
          <cell r="D7">
            <v>120900</v>
          </cell>
          <cell r="E7">
            <v>41945</v>
          </cell>
          <cell r="F7">
            <v>35320</v>
          </cell>
          <cell r="G7">
            <v>6625</v>
          </cell>
        </row>
        <row r="8">
          <cell r="B8" t="str">
            <v>    翁源县</v>
          </cell>
          <cell r="C8">
            <v>203502</v>
          </cell>
          <cell r="D8">
            <v>188220</v>
          </cell>
          <cell r="E8">
            <v>75275</v>
          </cell>
          <cell r="F8">
            <v>67564</v>
          </cell>
          <cell r="G8">
            <v>7711</v>
          </cell>
        </row>
        <row r="9">
          <cell r="B9" t="str">
            <v>    乳源瑶族自治县</v>
          </cell>
          <cell r="C9">
            <v>120021</v>
          </cell>
          <cell r="D9">
            <v>120021</v>
          </cell>
          <cell r="E9">
            <v>80277</v>
          </cell>
          <cell r="F9">
            <v>70014</v>
          </cell>
          <cell r="G9">
            <v>10263</v>
          </cell>
        </row>
        <row r="10">
          <cell r="B10" t="str">
            <v>    新丰县</v>
          </cell>
          <cell r="C10">
            <v>126073</v>
          </cell>
          <cell r="D10">
            <v>116590</v>
          </cell>
          <cell r="E10">
            <v>28321</v>
          </cell>
          <cell r="F10">
            <v>26055</v>
          </cell>
          <cell r="G10">
            <v>2266</v>
          </cell>
        </row>
        <row r="11">
          <cell r="B11" t="str">
            <v>    乐昌市</v>
          </cell>
          <cell r="C11">
            <v>240981</v>
          </cell>
          <cell r="D11">
            <v>223884</v>
          </cell>
          <cell r="E11">
            <v>63435</v>
          </cell>
          <cell r="F11">
            <v>54065</v>
          </cell>
          <cell r="G11">
            <v>9370</v>
          </cell>
        </row>
        <row r="12">
          <cell r="B12" t="str">
            <v>    南雄市</v>
          </cell>
          <cell r="C12">
            <v>229043</v>
          </cell>
          <cell r="D12">
            <v>182035</v>
          </cell>
          <cell r="E12">
            <v>74562</v>
          </cell>
          <cell r="F12">
            <v>65975</v>
          </cell>
          <cell r="G12">
            <v>8587</v>
          </cell>
        </row>
        <row r="13">
          <cell r="B13" t="str">
            <v>汕头市</v>
          </cell>
          <cell r="C13">
            <v>46196</v>
          </cell>
          <cell r="D13">
            <v>46196</v>
          </cell>
          <cell r="E13">
            <v>3418</v>
          </cell>
          <cell r="F13">
            <v>2706</v>
          </cell>
          <cell r="G13">
            <v>712</v>
          </cell>
        </row>
        <row r="14">
          <cell r="B14" t="str">
            <v>    南澳县</v>
          </cell>
          <cell r="C14">
            <v>46196</v>
          </cell>
          <cell r="D14">
            <v>46196</v>
          </cell>
          <cell r="E14">
            <v>3418</v>
          </cell>
          <cell r="F14">
            <v>2706</v>
          </cell>
          <cell r="G14">
            <v>712</v>
          </cell>
        </row>
        <row r="15">
          <cell r="B15" t="str">
            <v>江门市</v>
          </cell>
          <cell r="C15">
            <v>1901913</v>
          </cell>
          <cell r="D15">
            <v>1910085</v>
          </cell>
          <cell r="E15">
            <v>1171147</v>
          </cell>
          <cell r="F15">
            <v>1035633</v>
          </cell>
          <cell r="G15">
            <v>135514</v>
          </cell>
        </row>
        <row r="16">
          <cell r="B16" t="str">
            <v>    台山市</v>
          </cell>
          <cell r="C16">
            <v>649594</v>
          </cell>
          <cell r="D16">
            <v>648417</v>
          </cell>
          <cell r="E16">
            <v>330582</v>
          </cell>
          <cell r="F16">
            <v>297576</v>
          </cell>
          <cell r="G16">
            <v>33006</v>
          </cell>
        </row>
        <row r="17">
          <cell r="B17" t="str">
            <v>    开平市</v>
          </cell>
          <cell r="C17">
            <v>527010</v>
          </cell>
          <cell r="D17">
            <v>521740</v>
          </cell>
          <cell r="E17">
            <v>390513</v>
          </cell>
          <cell r="F17">
            <v>342249</v>
          </cell>
          <cell r="G17">
            <v>48264</v>
          </cell>
        </row>
        <row r="18">
          <cell r="B18" t="str">
            <v>    鹤山市</v>
          </cell>
          <cell r="C18">
            <v>381458</v>
          </cell>
          <cell r="D18">
            <v>391945</v>
          </cell>
          <cell r="E18">
            <v>190271</v>
          </cell>
          <cell r="F18">
            <v>168116</v>
          </cell>
          <cell r="G18">
            <v>22155</v>
          </cell>
        </row>
        <row r="19">
          <cell r="B19" t="str">
            <v>    恩平市</v>
          </cell>
          <cell r="C19">
            <v>343851</v>
          </cell>
          <cell r="D19">
            <v>347983</v>
          </cell>
          <cell r="E19">
            <v>259781</v>
          </cell>
          <cell r="F19">
            <v>227692</v>
          </cell>
          <cell r="G19">
            <v>32089</v>
          </cell>
        </row>
        <row r="20">
          <cell r="B20" t="str">
            <v>湛江市</v>
          </cell>
          <cell r="C20">
            <v>3000525</v>
          </cell>
          <cell r="D20">
            <v>3079356</v>
          </cell>
          <cell r="E20">
            <v>1192936</v>
          </cell>
          <cell r="F20">
            <v>1057100</v>
          </cell>
          <cell r="G20">
            <v>135836</v>
          </cell>
        </row>
        <row r="21">
          <cell r="B21" t="str">
            <v>    遂溪县</v>
          </cell>
          <cell r="C21">
            <v>497405</v>
          </cell>
          <cell r="D21">
            <v>497405</v>
          </cell>
          <cell r="E21">
            <v>222573</v>
          </cell>
          <cell r="F21">
            <v>204074</v>
          </cell>
          <cell r="G21">
            <v>18499</v>
          </cell>
        </row>
        <row r="22">
          <cell r="B22" t="str">
            <v>    徐闻县</v>
          </cell>
          <cell r="C22">
            <v>387606</v>
          </cell>
          <cell r="D22">
            <v>454269</v>
          </cell>
          <cell r="E22">
            <v>118630</v>
          </cell>
          <cell r="F22">
            <v>100047</v>
          </cell>
          <cell r="G22">
            <v>18583</v>
          </cell>
        </row>
        <row r="23">
          <cell r="B23" t="str">
            <v>    廉江市</v>
          </cell>
          <cell r="C23">
            <v>792270</v>
          </cell>
          <cell r="D23">
            <v>801879</v>
          </cell>
          <cell r="E23">
            <v>311275</v>
          </cell>
          <cell r="F23">
            <v>282302</v>
          </cell>
          <cell r="G23">
            <v>28973</v>
          </cell>
        </row>
        <row r="24">
          <cell r="B24" t="str">
            <v>    雷州市</v>
          </cell>
          <cell r="C24">
            <v>775857</v>
          </cell>
          <cell r="D24">
            <v>775857</v>
          </cell>
          <cell r="E24">
            <v>137844</v>
          </cell>
          <cell r="F24">
            <v>121721</v>
          </cell>
          <cell r="G24">
            <v>16123</v>
          </cell>
        </row>
        <row r="25">
          <cell r="B25" t="str">
            <v>    吴川市</v>
          </cell>
          <cell r="C25">
            <v>547387</v>
          </cell>
          <cell r="D25">
            <v>549946</v>
          </cell>
          <cell r="E25">
            <v>402614</v>
          </cell>
          <cell r="F25">
            <v>348956</v>
          </cell>
          <cell r="G25">
            <v>53658</v>
          </cell>
        </row>
        <row r="26">
          <cell r="B26" t="str">
            <v>茂名市</v>
          </cell>
          <cell r="C26">
            <v>2057923</v>
          </cell>
          <cell r="D26">
            <v>1860263</v>
          </cell>
          <cell r="E26">
            <v>839492</v>
          </cell>
          <cell r="F26">
            <v>758903</v>
          </cell>
          <cell r="G26">
            <v>80589</v>
          </cell>
        </row>
        <row r="27">
          <cell r="B27" t="str">
            <v>    高州市</v>
          </cell>
          <cell r="C27">
            <v>766406</v>
          </cell>
          <cell r="D27">
            <v>712309</v>
          </cell>
          <cell r="E27">
            <v>302318</v>
          </cell>
          <cell r="F27">
            <v>267270</v>
          </cell>
          <cell r="G27">
            <v>35048</v>
          </cell>
        </row>
        <row r="28">
          <cell r="B28" t="str">
            <v>    化州市</v>
          </cell>
          <cell r="C28">
            <v>717342</v>
          </cell>
          <cell r="D28">
            <v>614131</v>
          </cell>
          <cell r="E28">
            <v>230037</v>
          </cell>
          <cell r="F28">
            <v>210479</v>
          </cell>
          <cell r="G28">
            <v>19558</v>
          </cell>
        </row>
        <row r="29">
          <cell r="B29" t="str">
            <v>    信宜市</v>
          </cell>
          <cell r="C29">
            <v>574175</v>
          </cell>
          <cell r="D29">
            <v>533823</v>
          </cell>
          <cell r="E29">
            <v>307137</v>
          </cell>
          <cell r="F29">
            <v>281154</v>
          </cell>
          <cell r="G29">
            <v>25983</v>
          </cell>
        </row>
        <row r="30">
          <cell r="B30" t="str">
            <v>肇庆市</v>
          </cell>
          <cell r="C30">
            <v>1619639</v>
          </cell>
          <cell r="D30">
            <v>1384019</v>
          </cell>
          <cell r="E30">
            <v>716213</v>
          </cell>
          <cell r="F30">
            <v>645058</v>
          </cell>
          <cell r="G30">
            <v>71147</v>
          </cell>
        </row>
        <row r="31">
          <cell r="B31" t="str">
            <v>    广宁县</v>
          </cell>
          <cell r="C31">
            <v>258056</v>
          </cell>
          <cell r="D31">
            <v>254266</v>
          </cell>
          <cell r="E31">
            <v>179734</v>
          </cell>
          <cell r="F31">
            <v>165577</v>
          </cell>
          <cell r="G31">
            <v>14149</v>
          </cell>
        </row>
        <row r="32">
          <cell r="B32" t="str">
            <v>    怀集县</v>
          </cell>
          <cell r="C32">
            <v>472739</v>
          </cell>
          <cell r="D32">
            <v>386138</v>
          </cell>
          <cell r="E32">
            <v>207299</v>
          </cell>
          <cell r="F32">
            <v>184297</v>
          </cell>
          <cell r="G32">
            <v>23002</v>
          </cell>
        </row>
        <row r="33">
          <cell r="B33" t="str">
            <v>    封开县</v>
          </cell>
          <cell r="C33">
            <v>228974</v>
          </cell>
          <cell r="D33">
            <v>196861</v>
          </cell>
          <cell r="E33">
            <v>129948</v>
          </cell>
          <cell r="F33">
            <v>115662</v>
          </cell>
          <cell r="G33">
            <v>14286</v>
          </cell>
        </row>
        <row r="34">
          <cell r="B34" t="str">
            <v>    德庆县</v>
          </cell>
          <cell r="C34">
            <v>207985</v>
          </cell>
          <cell r="D34">
            <v>207985</v>
          </cell>
          <cell r="E34">
            <v>67401</v>
          </cell>
          <cell r="F34">
            <v>60457</v>
          </cell>
          <cell r="G34">
            <v>6944</v>
          </cell>
        </row>
        <row r="35">
          <cell r="B35" t="str">
            <v>    四会市</v>
          </cell>
          <cell r="C35">
            <v>451885</v>
          </cell>
          <cell r="D35">
            <v>338769</v>
          </cell>
          <cell r="E35">
            <v>131831</v>
          </cell>
          <cell r="F35">
            <v>119065</v>
          </cell>
          <cell r="G35">
            <v>12766</v>
          </cell>
        </row>
        <row r="36">
          <cell r="B36" t="str">
            <v>惠州市</v>
          </cell>
          <cell r="C36">
            <v>1702415</v>
          </cell>
          <cell r="D36">
            <v>1656785</v>
          </cell>
          <cell r="E36">
            <v>356017</v>
          </cell>
          <cell r="F36">
            <v>310755</v>
          </cell>
          <cell r="G36">
            <v>45262</v>
          </cell>
        </row>
        <row r="37">
          <cell r="B37" t="str">
            <v>    博罗县</v>
          </cell>
          <cell r="C37">
            <v>826100</v>
          </cell>
          <cell r="D37">
            <v>826100</v>
          </cell>
          <cell r="E37">
            <v>242764</v>
          </cell>
          <cell r="F37">
            <v>208942</v>
          </cell>
          <cell r="G37">
            <v>33822</v>
          </cell>
        </row>
        <row r="38">
          <cell r="B38" t="str">
            <v>    惠东县</v>
          </cell>
          <cell r="C38">
            <v>667221</v>
          </cell>
          <cell r="D38">
            <v>667221</v>
          </cell>
          <cell r="E38">
            <v>107452</v>
          </cell>
          <cell r="F38">
            <v>97335</v>
          </cell>
          <cell r="G38">
            <v>10117</v>
          </cell>
        </row>
        <row r="39">
          <cell r="B39" t="str">
            <v>    龙门县</v>
          </cell>
          <cell r="C39">
            <v>209094</v>
          </cell>
          <cell r="D39">
            <v>163464</v>
          </cell>
          <cell r="E39">
            <v>5801</v>
          </cell>
          <cell r="F39">
            <v>4478</v>
          </cell>
          <cell r="G39">
            <v>1323</v>
          </cell>
        </row>
        <row r="40">
          <cell r="B40" t="str">
            <v>梅州市</v>
          </cell>
          <cell r="C40">
            <v>1746774</v>
          </cell>
          <cell r="D40">
            <v>1807860</v>
          </cell>
          <cell r="E40">
            <v>1003431</v>
          </cell>
          <cell r="F40">
            <v>871214</v>
          </cell>
          <cell r="G40">
            <v>132271</v>
          </cell>
        </row>
        <row r="41">
          <cell r="B41" t="str">
            <v>    大埔县</v>
          </cell>
          <cell r="C41">
            <v>204859</v>
          </cell>
          <cell r="D41">
            <v>196859</v>
          </cell>
          <cell r="E41">
            <v>119593</v>
          </cell>
          <cell r="F41">
            <v>36311</v>
          </cell>
          <cell r="G41">
            <v>83282</v>
          </cell>
        </row>
        <row r="42">
          <cell r="B42" t="str">
            <v>    丰顺县</v>
          </cell>
          <cell r="C42">
            <v>295089</v>
          </cell>
          <cell r="D42">
            <v>295089</v>
          </cell>
          <cell r="E42">
            <v>289920</v>
          </cell>
          <cell r="F42">
            <v>280052</v>
          </cell>
          <cell r="G42">
            <v>9868</v>
          </cell>
        </row>
        <row r="43">
          <cell r="B43" t="str">
            <v>    五华县</v>
          </cell>
          <cell r="C43">
            <v>513139</v>
          </cell>
          <cell r="D43">
            <v>621220</v>
          </cell>
          <cell r="E43">
            <v>372732</v>
          </cell>
          <cell r="F43">
            <v>368329</v>
          </cell>
          <cell r="G43">
            <v>4403</v>
          </cell>
        </row>
        <row r="44">
          <cell r="B44" t="str">
            <v>    平远县</v>
          </cell>
          <cell r="C44">
            <v>125560</v>
          </cell>
          <cell r="D44">
            <v>95316</v>
          </cell>
          <cell r="E44">
            <v>45325</v>
          </cell>
          <cell r="F44">
            <v>40674</v>
          </cell>
          <cell r="G44">
            <v>4651</v>
          </cell>
        </row>
        <row r="45">
          <cell r="B45" t="str">
            <v>    蕉岭县</v>
          </cell>
          <cell r="C45">
            <v>122978</v>
          </cell>
          <cell r="D45">
            <v>114227</v>
          </cell>
          <cell r="E45">
            <v>72464</v>
          </cell>
          <cell r="F45">
            <v>65936</v>
          </cell>
          <cell r="G45">
            <v>6528</v>
          </cell>
        </row>
        <row r="46">
          <cell r="B46" t="str">
            <v>    兴宁市</v>
          </cell>
          <cell r="C46">
            <v>485149</v>
          </cell>
          <cell r="D46">
            <v>485149</v>
          </cell>
          <cell r="E46">
            <v>103397</v>
          </cell>
          <cell r="F46">
            <v>79912</v>
          </cell>
          <cell r="G46">
            <v>23485</v>
          </cell>
        </row>
        <row r="47">
          <cell r="B47" t="str">
            <v>汕尾市</v>
          </cell>
          <cell r="C47">
            <v>1389178</v>
          </cell>
          <cell r="D47">
            <v>1301477</v>
          </cell>
          <cell r="E47">
            <v>98027</v>
          </cell>
          <cell r="F47">
            <v>83703</v>
          </cell>
          <cell r="G47">
            <v>14324</v>
          </cell>
        </row>
        <row r="48">
          <cell r="B48" t="str">
            <v>    海丰县</v>
          </cell>
          <cell r="C48">
            <v>518269</v>
          </cell>
          <cell r="D48">
            <v>478182</v>
          </cell>
          <cell r="E48">
            <v>50093</v>
          </cell>
          <cell r="F48">
            <v>41879</v>
          </cell>
          <cell r="G48">
            <v>8214</v>
          </cell>
        </row>
        <row r="49">
          <cell r="B49" t="str">
            <v>    陆河县</v>
          </cell>
          <cell r="C49">
            <v>148211</v>
          </cell>
          <cell r="D49">
            <v>100597</v>
          </cell>
          <cell r="E49">
            <v>6621</v>
          </cell>
          <cell r="F49">
            <v>6253</v>
          </cell>
          <cell r="G49">
            <v>368</v>
          </cell>
        </row>
        <row r="50">
          <cell r="B50" t="str">
            <v>    陆丰市</v>
          </cell>
          <cell r="C50">
            <v>722698</v>
          </cell>
          <cell r="D50">
            <v>722698</v>
          </cell>
          <cell r="E50">
            <v>41313</v>
          </cell>
          <cell r="F50">
            <v>35571</v>
          </cell>
          <cell r="G50">
            <v>5742</v>
          </cell>
        </row>
        <row r="51">
          <cell r="B51" t="str">
            <v>河源市</v>
          </cell>
          <cell r="C51">
            <v>1266965</v>
          </cell>
          <cell r="D51">
            <v>1266965</v>
          </cell>
          <cell r="E51">
            <v>526652</v>
          </cell>
          <cell r="F51">
            <v>471765</v>
          </cell>
          <cell r="G51">
            <v>54887</v>
          </cell>
        </row>
        <row r="52">
          <cell r="B52" t="str">
            <v>    紫金县</v>
          </cell>
          <cell r="C52">
            <v>318346</v>
          </cell>
          <cell r="D52">
            <v>318346</v>
          </cell>
          <cell r="E52">
            <v>167093</v>
          </cell>
          <cell r="F52">
            <v>149871</v>
          </cell>
          <cell r="G52">
            <v>17222</v>
          </cell>
        </row>
        <row r="53">
          <cell r="B53" t="str">
            <v>    龙川县</v>
          </cell>
          <cell r="C53">
            <v>349329</v>
          </cell>
          <cell r="D53">
            <v>349329</v>
          </cell>
          <cell r="E53">
            <v>172274</v>
          </cell>
          <cell r="F53">
            <v>149460</v>
          </cell>
          <cell r="G53">
            <v>22814</v>
          </cell>
        </row>
        <row r="54">
          <cell r="B54" t="str">
            <v>    连平县</v>
          </cell>
          <cell r="C54">
            <v>176812</v>
          </cell>
          <cell r="D54">
            <v>176812</v>
          </cell>
          <cell r="E54">
            <v>52396</v>
          </cell>
          <cell r="F54">
            <v>46160</v>
          </cell>
          <cell r="G54">
            <v>6236</v>
          </cell>
        </row>
        <row r="55">
          <cell r="B55" t="str">
            <v>    和平县</v>
          </cell>
          <cell r="C55">
            <v>207762</v>
          </cell>
          <cell r="D55">
            <v>207762</v>
          </cell>
          <cell r="E55">
            <v>68786</v>
          </cell>
          <cell r="F55">
            <v>66617</v>
          </cell>
          <cell r="G55">
            <v>2169</v>
          </cell>
        </row>
        <row r="56">
          <cell r="B56" t="str">
            <v>    东源县</v>
          </cell>
          <cell r="C56">
            <v>214716</v>
          </cell>
          <cell r="D56">
            <v>214716</v>
          </cell>
          <cell r="E56">
            <v>66103</v>
          </cell>
          <cell r="F56">
            <v>59657</v>
          </cell>
          <cell r="G56">
            <v>6446</v>
          </cell>
        </row>
        <row r="57">
          <cell r="B57" t="str">
            <v>阳江市</v>
          </cell>
          <cell r="C57">
            <v>819024</v>
          </cell>
          <cell r="D57">
            <v>859387</v>
          </cell>
          <cell r="E57">
            <v>610588</v>
          </cell>
          <cell r="F57">
            <v>565706</v>
          </cell>
          <cell r="G57">
            <v>44882</v>
          </cell>
        </row>
        <row r="58">
          <cell r="B58" t="str">
            <v>    阳西县</v>
          </cell>
          <cell r="C58">
            <v>282233</v>
          </cell>
          <cell r="D58">
            <v>298294</v>
          </cell>
          <cell r="E58">
            <v>248326</v>
          </cell>
          <cell r="F58">
            <v>237879</v>
          </cell>
          <cell r="G58">
            <v>10447</v>
          </cell>
        </row>
        <row r="59">
          <cell r="B59" t="str">
            <v>    阳春市</v>
          </cell>
          <cell r="C59">
            <v>536791</v>
          </cell>
          <cell r="D59">
            <v>561093</v>
          </cell>
          <cell r="E59">
            <v>362262</v>
          </cell>
          <cell r="F59">
            <v>327827</v>
          </cell>
          <cell r="G59">
            <v>34435</v>
          </cell>
        </row>
        <row r="60">
          <cell r="B60" t="str">
            <v>清远市</v>
          </cell>
          <cell r="C60">
            <v>1411889</v>
          </cell>
          <cell r="D60">
            <v>1262547</v>
          </cell>
          <cell r="E60">
            <v>556477</v>
          </cell>
          <cell r="F60">
            <v>464732</v>
          </cell>
          <cell r="G60">
            <v>91745</v>
          </cell>
        </row>
        <row r="61">
          <cell r="B61" t="str">
            <v>    佛冈县</v>
          </cell>
          <cell r="C61">
            <v>204250</v>
          </cell>
          <cell r="D61">
            <v>205323</v>
          </cell>
          <cell r="E61">
            <v>78296</v>
          </cell>
          <cell r="F61">
            <v>68464</v>
          </cell>
          <cell r="G61">
            <v>9832</v>
          </cell>
        </row>
        <row r="62">
          <cell r="B62" t="str">
            <v>    阳山县</v>
          </cell>
          <cell r="C62">
            <v>227643</v>
          </cell>
          <cell r="D62">
            <v>226254</v>
          </cell>
          <cell r="E62">
            <v>13228</v>
          </cell>
          <cell r="F62">
            <v>323</v>
          </cell>
          <cell r="G62">
            <v>12905</v>
          </cell>
        </row>
        <row r="63">
          <cell r="B63" t="str">
            <v>    连山壮族瑶族自治县</v>
          </cell>
          <cell r="C63">
            <v>60380</v>
          </cell>
          <cell r="D63">
            <v>52535</v>
          </cell>
          <cell r="E63">
            <v>9184</v>
          </cell>
          <cell r="F63">
            <v>8253</v>
          </cell>
          <cell r="G63">
            <v>931</v>
          </cell>
        </row>
        <row r="64">
          <cell r="B64" t="str">
            <v>    连南瑶族自治县</v>
          </cell>
          <cell r="C64">
            <v>82653</v>
          </cell>
          <cell r="D64">
            <v>66948</v>
          </cell>
          <cell r="E64">
            <v>39603</v>
          </cell>
          <cell r="F64">
            <v>33329</v>
          </cell>
          <cell r="G64">
            <v>6274</v>
          </cell>
        </row>
        <row r="65">
          <cell r="B65" t="str">
            <v>    英德市</v>
          </cell>
          <cell r="C65">
            <v>599553</v>
          </cell>
          <cell r="D65">
            <v>481427</v>
          </cell>
          <cell r="E65">
            <v>257200</v>
          </cell>
          <cell r="F65">
            <v>223343</v>
          </cell>
          <cell r="G65">
            <v>33857</v>
          </cell>
        </row>
        <row r="66">
          <cell r="B66" t="str">
            <v>    连州市</v>
          </cell>
          <cell r="C66">
            <v>237410</v>
          </cell>
          <cell r="D66">
            <v>230060</v>
          </cell>
          <cell r="E66">
            <v>158966</v>
          </cell>
          <cell r="F66">
            <v>131020</v>
          </cell>
          <cell r="G66">
            <v>27946</v>
          </cell>
        </row>
        <row r="67">
          <cell r="B67" t="str">
            <v>潮州市</v>
          </cell>
          <cell r="C67">
            <v>535082</v>
          </cell>
          <cell r="D67">
            <v>577334</v>
          </cell>
          <cell r="E67">
            <v>68780</v>
          </cell>
          <cell r="F67">
            <v>64128</v>
          </cell>
          <cell r="G67">
            <v>4652</v>
          </cell>
        </row>
        <row r="68">
          <cell r="B68" t="str">
            <v>    饶平县</v>
          </cell>
          <cell r="C68">
            <v>535082</v>
          </cell>
          <cell r="D68">
            <v>577334</v>
          </cell>
          <cell r="E68">
            <v>68780</v>
          </cell>
          <cell r="F68">
            <v>64128</v>
          </cell>
          <cell r="G68">
            <v>4652</v>
          </cell>
        </row>
        <row r="69">
          <cell r="B69" t="str">
            <v>揭阳市</v>
          </cell>
          <cell r="C69">
            <v>2189808</v>
          </cell>
          <cell r="D69">
            <v>1945919</v>
          </cell>
          <cell r="E69">
            <v>233391</v>
          </cell>
          <cell r="F69">
            <v>219494</v>
          </cell>
          <cell r="G69">
            <v>13897</v>
          </cell>
        </row>
        <row r="70">
          <cell r="B70" t="str">
            <v>    揭西县</v>
          </cell>
          <cell r="C70">
            <v>410328</v>
          </cell>
          <cell r="D70">
            <v>366294</v>
          </cell>
          <cell r="E70">
            <v>48811</v>
          </cell>
          <cell r="F70">
            <v>46833</v>
          </cell>
          <cell r="G70">
            <v>1978</v>
          </cell>
        </row>
        <row r="71">
          <cell r="B71" t="str">
            <v>    惠来县</v>
          </cell>
          <cell r="C71">
            <v>574020</v>
          </cell>
          <cell r="D71">
            <v>554985</v>
          </cell>
          <cell r="E71">
            <v>71870</v>
          </cell>
          <cell r="F71">
            <v>65586</v>
          </cell>
          <cell r="G71">
            <v>6284</v>
          </cell>
        </row>
        <row r="72">
          <cell r="B72" t="str">
            <v>    普宁市</v>
          </cell>
          <cell r="C72">
            <v>1205460</v>
          </cell>
          <cell r="D72">
            <v>1024640</v>
          </cell>
          <cell r="E72">
            <v>112710</v>
          </cell>
          <cell r="F72">
            <v>107075</v>
          </cell>
          <cell r="G72">
            <v>5635</v>
          </cell>
        </row>
        <row r="73">
          <cell r="B73" t="str">
            <v>云浮市</v>
          </cell>
          <cell r="C73">
            <v>1057717</v>
          </cell>
          <cell r="D73">
            <v>942096</v>
          </cell>
          <cell r="E73">
            <v>322940</v>
          </cell>
          <cell r="F73">
            <v>254303</v>
          </cell>
          <cell r="G73">
            <v>68637</v>
          </cell>
        </row>
        <row r="74">
          <cell r="B74" t="str">
            <v>    新兴县</v>
          </cell>
          <cell r="C74">
            <v>277803</v>
          </cell>
          <cell r="D74">
            <v>271061</v>
          </cell>
          <cell r="E74">
            <v>125168</v>
          </cell>
          <cell r="F74">
            <v>109511</v>
          </cell>
          <cell r="G74">
            <v>15657</v>
          </cell>
        </row>
        <row r="75">
          <cell r="B75" t="str">
            <v>    郁南县</v>
          </cell>
          <cell r="C75">
            <v>228084</v>
          </cell>
          <cell r="D75">
            <v>217762</v>
          </cell>
          <cell r="E75">
            <v>146181</v>
          </cell>
          <cell r="F75">
            <v>129771</v>
          </cell>
          <cell r="G75">
            <v>16410</v>
          </cell>
        </row>
        <row r="76">
          <cell r="B76" t="str">
            <v>    罗定市</v>
          </cell>
          <cell r="C76">
            <v>551830</v>
          </cell>
          <cell r="D76">
            <v>453273</v>
          </cell>
          <cell r="E76">
            <v>51591</v>
          </cell>
          <cell r="F76">
            <v>15021</v>
          </cell>
          <cell r="G76">
            <v>36570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10"/>
  <sheetViews>
    <sheetView topLeftCell="C1" workbookViewId="0">
      <selection activeCell="D18" sqref="D18"/>
    </sheetView>
  </sheetViews>
  <sheetFormatPr defaultColWidth="9" defaultRowHeight="15"/>
  <cols>
    <col min="1" max="2" width="9" style="1" hidden="1" customWidth="1"/>
    <col min="3" max="3" width="20.875" style="1" customWidth="1"/>
    <col min="4" max="4" width="9.25833333333333" style="76" customWidth="1"/>
    <col min="5" max="5" width="11.75" style="76" customWidth="1"/>
    <col min="6" max="6" width="13.5083333333333" style="76" customWidth="1"/>
    <col min="7" max="7" width="13.875" style="76" customWidth="1"/>
    <col min="8" max="8" width="10.625" style="104" customWidth="1"/>
    <col min="9" max="13" width="15.75" style="104" customWidth="1"/>
    <col min="14" max="16" width="11.75" style="104" customWidth="1"/>
    <col min="17" max="17" width="13.5083333333333" style="104" customWidth="1"/>
    <col min="18" max="18" width="13.25" style="104" customWidth="1"/>
    <col min="19" max="19" width="12.25" style="104" customWidth="1"/>
    <col min="20" max="23" width="9.375" style="104" hidden="1" customWidth="1"/>
    <col min="24" max="24" width="12.25" style="104" hidden="1" customWidth="1"/>
    <col min="25" max="25" width="9.75" style="76" hidden="1" customWidth="1"/>
    <col min="26" max="26" width="12.625" style="104" hidden="1" customWidth="1"/>
    <col min="27" max="16380" width="9" style="90"/>
    <col min="16382" max="16384" width="9" style="90"/>
  </cols>
  <sheetData>
    <row r="1" s="1" customFormat="1" ht="29" customHeight="1" spans="3:26">
      <c r="C1" s="6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131"/>
      <c r="U1" s="131"/>
      <c r="V1" s="131"/>
      <c r="W1" s="131"/>
      <c r="X1" s="131"/>
      <c r="Y1" s="138"/>
      <c r="Z1" s="131"/>
    </row>
    <row r="2" s="1" customFormat="1" ht="29" customHeight="1" spans="3:28">
      <c r="C2" s="8" t="s">
        <v>1</v>
      </c>
      <c r="D2" s="42" t="s">
        <v>2</v>
      </c>
      <c r="E2" s="42"/>
      <c r="F2" s="42"/>
      <c r="G2" s="42"/>
      <c r="H2" s="42"/>
      <c r="I2" s="42"/>
      <c r="J2" s="42"/>
      <c r="K2" s="42"/>
      <c r="L2" s="42"/>
      <c r="M2" s="42"/>
      <c r="N2" s="42" t="s">
        <v>3</v>
      </c>
      <c r="O2" s="42"/>
      <c r="P2" s="42"/>
      <c r="Q2" s="42"/>
      <c r="R2" s="125"/>
      <c r="S2" s="8" t="s">
        <v>4</v>
      </c>
      <c r="T2" s="131"/>
      <c r="U2" s="131"/>
      <c r="V2" s="131"/>
      <c r="W2" s="131"/>
      <c r="X2" s="131"/>
      <c r="Y2" s="131"/>
      <c r="Z2" s="131"/>
      <c r="AA2" s="131"/>
      <c r="AB2" s="131"/>
    </row>
    <row r="3" s="1" customFormat="1" ht="50" customHeight="1" spans="1:26">
      <c r="A3" s="105" t="s">
        <v>5</v>
      </c>
      <c r="B3" s="105" t="s">
        <v>6</v>
      </c>
      <c r="C3" s="8"/>
      <c r="D3" s="8" t="s">
        <v>7</v>
      </c>
      <c r="E3" s="8" t="s">
        <v>8</v>
      </c>
      <c r="F3" s="8" t="s">
        <v>9</v>
      </c>
      <c r="G3" s="8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3" t="s">
        <v>16</v>
      </c>
      <c r="N3" s="126" t="s">
        <v>17</v>
      </c>
      <c r="O3" s="13" t="s">
        <v>18</v>
      </c>
      <c r="P3" s="13" t="s">
        <v>19</v>
      </c>
      <c r="Q3" s="13" t="s">
        <v>20</v>
      </c>
      <c r="R3" s="127" t="s">
        <v>21</v>
      </c>
      <c r="S3" s="8"/>
      <c r="T3" s="135" t="s">
        <v>17</v>
      </c>
      <c r="U3" s="136" t="s">
        <v>18</v>
      </c>
      <c r="V3" s="136" t="s">
        <v>22</v>
      </c>
      <c r="W3" s="35" t="s">
        <v>20</v>
      </c>
      <c r="X3" s="35" t="s">
        <v>23</v>
      </c>
      <c r="Y3" s="35" t="s">
        <v>15</v>
      </c>
      <c r="Z3" s="35" t="s">
        <v>24</v>
      </c>
    </row>
    <row r="4" s="75" customFormat="1" ht="44" customHeight="1" spans="1:26">
      <c r="A4" s="106"/>
      <c r="B4" s="106"/>
      <c r="C4" s="8" t="s">
        <v>25</v>
      </c>
      <c r="D4" s="8" t="s">
        <v>26</v>
      </c>
      <c r="E4" s="8" t="s">
        <v>27</v>
      </c>
      <c r="F4" s="8" t="s">
        <v>28</v>
      </c>
      <c r="G4" s="8" t="s">
        <v>29</v>
      </c>
      <c r="H4" s="13" t="s">
        <v>30</v>
      </c>
      <c r="I4" s="13" t="s">
        <v>31</v>
      </c>
      <c r="J4" s="13" t="s">
        <v>32</v>
      </c>
      <c r="K4" s="13" t="s">
        <v>33</v>
      </c>
      <c r="L4" s="13" t="s">
        <v>34</v>
      </c>
      <c r="M4" s="13" t="s">
        <v>35</v>
      </c>
      <c r="N4" s="126" t="s">
        <v>36</v>
      </c>
      <c r="O4" s="13" t="s">
        <v>37</v>
      </c>
      <c r="P4" s="42" t="s">
        <v>38</v>
      </c>
      <c r="Q4" s="13" t="s">
        <v>39</v>
      </c>
      <c r="R4" s="13" t="s">
        <v>40</v>
      </c>
      <c r="S4" s="13" t="s">
        <v>41</v>
      </c>
      <c r="T4" s="126" t="s">
        <v>42</v>
      </c>
      <c r="U4" s="13" t="s">
        <v>43</v>
      </c>
      <c r="V4" s="146"/>
      <c r="W4" s="13" t="s">
        <v>44</v>
      </c>
      <c r="X4" s="13" t="s">
        <v>45</v>
      </c>
      <c r="Y4" s="13" t="s">
        <v>37</v>
      </c>
      <c r="Z4" s="13" t="s">
        <v>46</v>
      </c>
    </row>
    <row r="5" s="2" customFormat="1" ht="18" customHeight="1" spans="1:26">
      <c r="A5" s="15"/>
      <c r="B5" s="15"/>
      <c r="C5" s="16" t="s">
        <v>47</v>
      </c>
      <c r="D5" s="139">
        <f t="shared" ref="D5:K5" si="0">D6+D13</f>
        <v>20974449</v>
      </c>
      <c r="E5" s="139">
        <f t="shared" si="0"/>
        <v>943721</v>
      </c>
      <c r="F5" s="139">
        <f t="shared" si="0"/>
        <v>13638395</v>
      </c>
      <c r="G5" s="139">
        <f t="shared" si="0"/>
        <v>1227455</v>
      </c>
      <c r="H5" s="119">
        <f t="shared" si="0"/>
        <v>27276.79</v>
      </c>
      <c r="I5" s="119">
        <f t="shared" si="0"/>
        <v>8592.18</v>
      </c>
      <c r="J5" s="119">
        <f t="shared" si="0"/>
        <v>490.982</v>
      </c>
      <c r="K5" s="119">
        <f t="shared" si="0"/>
        <v>36359.952</v>
      </c>
      <c r="L5" s="119"/>
      <c r="M5" s="119">
        <f t="shared" ref="M5:S5" si="1">M6+M13</f>
        <v>31931.57</v>
      </c>
      <c r="N5" s="128">
        <f t="shared" si="1"/>
        <v>1920</v>
      </c>
      <c r="O5" s="119">
        <f t="shared" si="1"/>
        <v>1505</v>
      </c>
      <c r="P5" s="119">
        <f t="shared" si="1"/>
        <v>609.61</v>
      </c>
      <c r="Q5" s="119">
        <f t="shared" si="1"/>
        <v>129</v>
      </c>
      <c r="R5" s="119">
        <f t="shared" si="1"/>
        <v>4163.61</v>
      </c>
      <c r="S5" s="119">
        <f t="shared" si="1"/>
        <v>36095.18</v>
      </c>
      <c r="T5" s="128">
        <f t="shared" ref="T5:X5" si="2">T6+T13</f>
        <v>1920</v>
      </c>
      <c r="U5" s="119">
        <f t="shared" si="2"/>
        <v>1505</v>
      </c>
      <c r="V5" s="14"/>
      <c r="W5" s="119"/>
      <c r="X5" s="119">
        <f t="shared" si="2"/>
        <v>153146.094</v>
      </c>
      <c r="Y5" s="139"/>
      <c r="Z5" s="119">
        <f>Z6+Z13</f>
        <v>135591</v>
      </c>
    </row>
    <row r="6" s="2" customFormat="1" ht="18" customHeight="1" spans="1:26">
      <c r="A6" s="15"/>
      <c r="B6" s="15"/>
      <c r="C6" s="15" t="s">
        <v>48</v>
      </c>
      <c r="D6" s="40"/>
      <c r="E6" s="40"/>
      <c r="F6" s="40"/>
      <c r="G6" s="40"/>
      <c r="H6" s="40">
        <f t="shared" ref="H6:K6" si="3">SUM(H7:H12)</f>
        <v>0</v>
      </c>
      <c r="I6" s="40">
        <f t="shared" si="3"/>
        <v>0</v>
      </c>
      <c r="J6" s="40">
        <f t="shared" si="3"/>
        <v>0</v>
      </c>
      <c r="K6" s="40">
        <f t="shared" si="3"/>
        <v>0</v>
      </c>
      <c r="L6" s="40"/>
      <c r="M6" s="40">
        <f t="shared" ref="M6:S6" si="4">SUM(M7:M12)</f>
        <v>0</v>
      </c>
      <c r="N6" s="128">
        <f t="shared" si="4"/>
        <v>120</v>
      </c>
      <c r="O6" s="128">
        <f t="shared" si="4"/>
        <v>80</v>
      </c>
      <c r="P6" s="128">
        <f t="shared" si="4"/>
        <v>39.61</v>
      </c>
      <c r="Q6" s="128">
        <f t="shared" si="4"/>
        <v>129</v>
      </c>
      <c r="R6" s="128">
        <f t="shared" si="4"/>
        <v>368.61</v>
      </c>
      <c r="S6" s="128">
        <f t="shared" si="4"/>
        <v>368.61</v>
      </c>
      <c r="T6" s="128">
        <f>SUM(T8:T12)</f>
        <v>120</v>
      </c>
      <c r="U6" s="119">
        <f>SUM(U8:U12)</f>
        <v>80</v>
      </c>
      <c r="V6" s="14"/>
      <c r="W6" s="119"/>
      <c r="X6" s="119">
        <f>SUM(X7:X12)</f>
        <v>1321</v>
      </c>
      <c r="Y6" s="139"/>
      <c r="Z6" s="119">
        <f>SUM(Z8:Z12)</f>
        <v>1321</v>
      </c>
    </row>
    <row r="7" s="2" customFormat="1" ht="18" customHeight="1" spans="1:26">
      <c r="A7" s="15"/>
      <c r="B7" s="15"/>
      <c r="C7" s="18" t="s">
        <v>49</v>
      </c>
      <c r="D7" s="139"/>
      <c r="E7" s="139"/>
      <c r="F7" s="139"/>
      <c r="G7" s="139"/>
      <c r="H7" s="119"/>
      <c r="I7" s="119"/>
      <c r="J7" s="119"/>
      <c r="K7" s="119"/>
      <c r="L7" s="120">
        <v>1</v>
      </c>
      <c r="M7" s="119"/>
      <c r="N7" s="128"/>
      <c r="O7" s="119"/>
      <c r="P7" s="19">
        <v>39.61</v>
      </c>
      <c r="Q7" s="119"/>
      <c r="R7" s="130">
        <f t="shared" ref="R7:R12" si="5">T7+U7+V7+W7</f>
        <v>39.61</v>
      </c>
      <c r="S7" s="119">
        <f t="shared" ref="S7:S12" si="6">M7+R7</f>
        <v>39.61</v>
      </c>
      <c r="T7" s="128"/>
      <c r="U7" s="119"/>
      <c r="V7" s="19">
        <v>39.61</v>
      </c>
      <c r="W7" s="119"/>
      <c r="X7" s="119"/>
      <c r="Y7" s="139"/>
      <c r="Z7" s="119"/>
    </row>
    <row r="8" s="3" customFormat="1" ht="18" customHeight="1" spans="1:26">
      <c r="A8" s="18"/>
      <c r="B8" s="18"/>
      <c r="C8" s="18" t="s">
        <v>50</v>
      </c>
      <c r="D8" s="28"/>
      <c r="E8" s="28"/>
      <c r="F8" s="28"/>
      <c r="G8" s="28"/>
      <c r="H8" s="130"/>
      <c r="I8" s="130"/>
      <c r="J8" s="130"/>
      <c r="K8" s="130"/>
      <c r="L8" s="120">
        <v>1</v>
      </c>
      <c r="M8" s="130"/>
      <c r="N8" s="129">
        <v>60</v>
      </c>
      <c r="O8" s="130">
        <v>20</v>
      </c>
      <c r="P8" s="19"/>
      <c r="Q8" s="130"/>
      <c r="R8" s="130">
        <f t="shared" si="5"/>
        <v>80</v>
      </c>
      <c r="S8" s="119">
        <f t="shared" si="6"/>
        <v>80</v>
      </c>
      <c r="T8" s="129">
        <v>60</v>
      </c>
      <c r="U8" s="130">
        <v>20</v>
      </c>
      <c r="V8" s="19"/>
      <c r="W8" s="130"/>
      <c r="X8" s="130">
        <f>SUM(H8:W8)</f>
        <v>321</v>
      </c>
      <c r="Y8" s="120">
        <v>1</v>
      </c>
      <c r="Z8" s="130">
        <f t="shared" ref="Z8:Z12" si="7">ROUND(X8*Y8,0)</f>
        <v>321</v>
      </c>
    </row>
    <row r="9" s="3" customFormat="1" ht="18" customHeight="1" spans="1:26">
      <c r="A9" s="18"/>
      <c r="B9" s="18"/>
      <c r="C9" s="18" t="s">
        <v>51</v>
      </c>
      <c r="D9" s="28"/>
      <c r="E9" s="28"/>
      <c r="F9" s="28"/>
      <c r="G9" s="28"/>
      <c r="H9" s="130"/>
      <c r="I9" s="130"/>
      <c r="J9" s="130"/>
      <c r="K9" s="130"/>
      <c r="L9" s="120">
        <v>1</v>
      </c>
      <c r="M9" s="130"/>
      <c r="N9" s="129"/>
      <c r="O9" s="130"/>
      <c r="P9" s="19"/>
      <c r="Q9" s="130">
        <v>129</v>
      </c>
      <c r="R9" s="130">
        <f t="shared" si="5"/>
        <v>129</v>
      </c>
      <c r="S9" s="119">
        <f t="shared" si="6"/>
        <v>129</v>
      </c>
      <c r="T9" s="129"/>
      <c r="U9" s="130"/>
      <c r="V9" s="19"/>
      <c r="W9" s="130">
        <v>129</v>
      </c>
      <c r="X9" s="130">
        <f>SUM(H9:W9)</f>
        <v>517</v>
      </c>
      <c r="Y9" s="120">
        <v>1</v>
      </c>
      <c r="Z9" s="130">
        <f t="shared" si="7"/>
        <v>517</v>
      </c>
    </row>
    <row r="10" s="3" customFormat="1" ht="18" customHeight="1" spans="1:26">
      <c r="A10" s="18"/>
      <c r="B10" s="18"/>
      <c r="C10" s="18" t="s">
        <v>52</v>
      </c>
      <c r="D10" s="28"/>
      <c r="E10" s="28"/>
      <c r="F10" s="28"/>
      <c r="G10" s="28"/>
      <c r="H10" s="130"/>
      <c r="I10" s="130"/>
      <c r="J10" s="130"/>
      <c r="K10" s="130"/>
      <c r="L10" s="120">
        <v>1</v>
      </c>
      <c r="M10" s="130"/>
      <c r="N10" s="129">
        <v>60</v>
      </c>
      <c r="O10" s="130">
        <v>20</v>
      </c>
      <c r="P10" s="19"/>
      <c r="Q10" s="130"/>
      <c r="R10" s="130">
        <f t="shared" si="5"/>
        <v>80</v>
      </c>
      <c r="S10" s="119">
        <f t="shared" si="6"/>
        <v>80</v>
      </c>
      <c r="T10" s="129">
        <v>60</v>
      </c>
      <c r="U10" s="130">
        <v>20</v>
      </c>
      <c r="V10" s="19"/>
      <c r="W10" s="130"/>
      <c r="X10" s="130">
        <f>SUM(H10:W10)</f>
        <v>321</v>
      </c>
      <c r="Y10" s="120">
        <v>1</v>
      </c>
      <c r="Z10" s="130">
        <f t="shared" si="7"/>
        <v>321</v>
      </c>
    </row>
    <row r="11" s="3" customFormat="1" ht="18" customHeight="1" spans="1:26">
      <c r="A11" s="18"/>
      <c r="B11" s="18"/>
      <c r="C11" s="18" t="s">
        <v>53</v>
      </c>
      <c r="D11" s="28"/>
      <c r="E11" s="28"/>
      <c r="F11" s="28"/>
      <c r="G11" s="28"/>
      <c r="H11" s="130"/>
      <c r="I11" s="130"/>
      <c r="J11" s="130"/>
      <c r="K11" s="130"/>
      <c r="L11" s="120">
        <v>1</v>
      </c>
      <c r="M11" s="130"/>
      <c r="N11" s="129"/>
      <c r="O11" s="130">
        <v>20</v>
      </c>
      <c r="P11" s="19"/>
      <c r="Q11" s="130"/>
      <c r="R11" s="130">
        <f t="shared" si="5"/>
        <v>20</v>
      </c>
      <c r="S11" s="119">
        <f t="shared" si="6"/>
        <v>20</v>
      </c>
      <c r="T11" s="129"/>
      <c r="U11" s="130">
        <v>20</v>
      </c>
      <c r="V11" s="19"/>
      <c r="W11" s="130"/>
      <c r="X11" s="130">
        <f>SUM(H11:W11)</f>
        <v>81</v>
      </c>
      <c r="Y11" s="120">
        <v>1</v>
      </c>
      <c r="Z11" s="130">
        <f t="shared" si="7"/>
        <v>81</v>
      </c>
    </row>
    <row r="12" s="3" customFormat="1" ht="18" customHeight="1" spans="1:26">
      <c r="A12" s="18"/>
      <c r="B12" s="18"/>
      <c r="C12" s="18" t="s">
        <v>54</v>
      </c>
      <c r="D12" s="28"/>
      <c r="E12" s="28"/>
      <c r="F12" s="28"/>
      <c r="G12" s="28"/>
      <c r="H12" s="130"/>
      <c r="I12" s="130"/>
      <c r="J12" s="130"/>
      <c r="K12" s="130"/>
      <c r="L12" s="120">
        <v>1</v>
      </c>
      <c r="M12" s="130"/>
      <c r="N12" s="129"/>
      <c r="O12" s="130">
        <v>20</v>
      </c>
      <c r="P12" s="19"/>
      <c r="Q12" s="130"/>
      <c r="R12" s="130">
        <f t="shared" si="5"/>
        <v>20</v>
      </c>
      <c r="S12" s="119">
        <f t="shared" si="6"/>
        <v>20</v>
      </c>
      <c r="T12" s="129"/>
      <c r="U12" s="130">
        <v>20</v>
      </c>
      <c r="V12" s="19"/>
      <c r="W12" s="130"/>
      <c r="X12" s="130">
        <f>SUM(H12:W12)</f>
        <v>81</v>
      </c>
      <c r="Y12" s="120">
        <v>1</v>
      </c>
      <c r="Z12" s="130">
        <f t="shared" si="7"/>
        <v>81</v>
      </c>
    </row>
    <row r="13" s="2" customFormat="1" ht="18" customHeight="1" spans="1:26">
      <c r="A13" s="15"/>
      <c r="B13" s="15"/>
      <c r="C13" s="15" t="s">
        <v>55</v>
      </c>
      <c r="D13" s="140">
        <f t="shared" ref="D13:K13" si="8">D14+D23+D26+D32+D39+D44+D51+D56+D64+D69+D76+D88+D91+D96+D80</f>
        <v>20974449</v>
      </c>
      <c r="E13" s="140">
        <f t="shared" si="8"/>
        <v>943721</v>
      </c>
      <c r="F13" s="140">
        <f t="shared" si="8"/>
        <v>13638395</v>
      </c>
      <c r="G13" s="140">
        <f t="shared" si="8"/>
        <v>1227455</v>
      </c>
      <c r="H13" s="107">
        <f t="shared" si="8"/>
        <v>27276.79</v>
      </c>
      <c r="I13" s="107">
        <f t="shared" si="8"/>
        <v>8592.18</v>
      </c>
      <c r="J13" s="107">
        <f t="shared" si="8"/>
        <v>490.982</v>
      </c>
      <c r="K13" s="107">
        <f t="shared" si="8"/>
        <v>36359.952</v>
      </c>
      <c r="L13" s="107"/>
      <c r="M13" s="107">
        <f t="shared" ref="M13:P13" si="9">M14+M23+M26+M32+M39+M44+M51+M56+M64+M69+M76+M88+M91+M96+M80</f>
        <v>31931.57</v>
      </c>
      <c r="N13" s="144">
        <f t="shared" si="9"/>
        <v>1800</v>
      </c>
      <c r="O13" s="107">
        <f t="shared" si="9"/>
        <v>1425</v>
      </c>
      <c r="P13" s="107">
        <f t="shared" si="9"/>
        <v>570</v>
      </c>
      <c r="Q13" s="107">
        <v>0</v>
      </c>
      <c r="R13" s="107">
        <f>R14+R23+R26+R32+R39+R44+R51+R56+R64+R69+R76+R88+R91+R96+R80</f>
        <v>3795</v>
      </c>
      <c r="S13" s="107">
        <f>S14+S23+S26+S32+S39+S44+S51+S56+S64+S69+S76+S88+S91+S96+S80</f>
        <v>35726.57</v>
      </c>
      <c r="T13" s="144">
        <f t="shared" ref="T13:X13" si="10">T14+T23+T26+T32+T39+T44+T51+T56+T64+T69+T76+T88+T91+T96+T80</f>
        <v>1800</v>
      </c>
      <c r="U13" s="107">
        <f t="shared" si="10"/>
        <v>1425</v>
      </c>
      <c r="V13" s="14"/>
      <c r="W13" s="107"/>
      <c r="X13" s="107">
        <f t="shared" si="10"/>
        <v>151825.094</v>
      </c>
      <c r="Y13" s="140"/>
      <c r="Z13" s="107">
        <f>Z14+Z23+Z26+Z32+Z39+Z44+Z51+Z56+Z64+Z69+Z76+Z88+Z91+Z96+Z80</f>
        <v>134270</v>
      </c>
    </row>
    <row r="14" s="4" customFormat="1" ht="18" customHeight="1" spans="1:26">
      <c r="A14" s="22">
        <v>440200</v>
      </c>
      <c r="B14" s="22" t="s">
        <v>56</v>
      </c>
      <c r="C14" s="23" t="s">
        <v>57</v>
      </c>
      <c r="D14" s="140">
        <f t="shared" ref="D14:K14" si="11">SUM(D15:D22)</f>
        <v>1074160</v>
      </c>
      <c r="E14" s="140">
        <f t="shared" si="11"/>
        <v>49420</v>
      </c>
      <c r="F14" s="140">
        <f t="shared" si="11"/>
        <v>702493</v>
      </c>
      <c r="G14" s="140">
        <f t="shared" si="11"/>
        <v>63223</v>
      </c>
      <c r="H14" s="107">
        <f t="shared" si="11"/>
        <v>1404.986</v>
      </c>
      <c r="I14" s="107">
        <f t="shared" si="11"/>
        <v>442.57</v>
      </c>
      <c r="J14" s="107">
        <f t="shared" si="11"/>
        <v>25.2892</v>
      </c>
      <c r="K14" s="107">
        <f t="shared" si="11"/>
        <v>1872.8452</v>
      </c>
      <c r="L14" s="107"/>
      <c r="M14" s="107">
        <f t="shared" ref="M14:S14" si="12">SUM(M15:M22)</f>
        <v>1668.93</v>
      </c>
      <c r="N14" s="144">
        <f t="shared" si="12"/>
        <v>200</v>
      </c>
      <c r="O14" s="107">
        <f t="shared" si="12"/>
        <v>175</v>
      </c>
      <c r="P14" s="107">
        <f t="shared" si="12"/>
        <v>70</v>
      </c>
      <c r="Q14" s="107">
        <f t="shared" si="12"/>
        <v>0</v>
      </c>
      <c r="R14" s="107">
        <f t="shared" si="12"/>
        <v>445</v>
      </c>
      <c r="S14" s="107">
        <f t="shared" si="12"/>
        <v>2113.93</v>
      </c>
      <c r="T14" s="144">
        <f t="shared" ref="T14:X14" si="13">SUM(T15:T22)</f>
        <v>200</v>
      </c>
      <c r="U14" s="107">
        <f t="shared" si="13"/>
        <v>175</v>
      </c>
      <c r="V14" s="22"/>
      <c r="W14" s="107"/>
      <c r="X14" s="107">
        <f t="shared" si="13"/>
        <v>8870.6504</v>
      </c>
      <c r="Y14" s="140"/>
      <c r="Z14" s="107">
        <f>SUM(Z15:Z22)</f>
        <v>7920</v>
      </c>
    </row>
    <row r="15" s="4" customFormat="1" ht="18" customHeight="1" spans="1:26">
      <c r="A15" s="22"/>
      <c r="B15" s="22"/>
      <c r="C15" s="10" t="s">
        <v>58</v>
      </c>
      <c r="D15" s="140"/>
      <c r="E15" s="140"/>
      <c r="F15" s="140"/>
      <c r="G15" s="140"/>
      <c r="H15" s="107"/>
      <c r="I15" s="107"/>
      <c r="J15" s="107"/>
      <c r="K15" s="107"/>
      <c r="L15" s="120">
        <v>0.85</v>
      </c>
      <c r="M15" s="107"/>
      <c r="N15" s="145">
        <v>25</v>
      </c>
      <c r="O15" s="107"/>
      <c r="P15" s="22"/>
      <c r="Q15" s="107"/>
      <c r="R15" s="130">
        <f t="shared" ref="R15:R22" si="14">T15+U15+V15+W15</f>
        <v>25</v>
      </c>
      <c r="S15" s="119">
        <f t="shared" ref="S15:S22" si="15">M15+R15</f>
        <v>25</v>
      </c>
      <c r="T15" s="145">
        <v>25</v>
      </c>
      <c r="U15" s="107"/>
      <c r="V15" s="22"/>
      <c r="W15" s="107"/>
      <c r="X15" s="130">
        <f t="shared" ref="X15:X22" si="16">SUM(H15:W15)</f>
        <v>100.85</v>
      </c>
      <c r="Y15" s="120">
        <v>0.85</v>
      </c>
      <c r="Z15" s="130">
        <f t="shared" ref="Z15:Z22" si="17">ROUND(X15*Y15,0)</f>
        <v>86</v>
      </c>
    </row>
    <row r="16" s="1" customFormat="1" ht="18" customHeight="1" spans="1:26">
      <c r="A16" s="10">
        <v>440222</v>
      </c>
      <c r="B16" s="10" t="s">
        <v>56</v>
      </c>
      <c r="C16" s="10" t="s">
        <v>59</v>
      </c>
      <c r="D16" s="87">
        <f>VLOOKUP(C16,[1]摸底数!B:D,3,0)</f>
        <v>122510</v>
      </c>
      <c r="E16" s="87">
        <v>4598</v>
      </c>
      <c r="F16" s="141">
        <f t="shared" ref="F16:F22" si="18">ROUND(D16*0.7-E16,0)</f>
        <v>81159</v>
      </c>
      <c r="G16" s="141">
        <f t="shared" ref="G16:G22" si="19">ROUND(F16*0.09,0)</f>
        <v>7304</v>
      </c>
      <c r="H16" s="142">
        <f t="shared" ref="H16:H22" si="20">F16*20/10000</f>
        <v>162.318</v>
      </c>
      <c r="I16" s="116">
        <f t="shared" ref="I16:I22" si="21">ROUND(F16*0.5*0.6*21/10000,2)</f>
        <v>51.13</v>
      </c>
      <c r="J16" s="116">
        <f t="shared" ref="J16:J22" si="22">G16*0.4*10/10000</f>
        <v>2.9216</v>
      </c>
      <c r="K16" s="116">
        <f t="shared" ref="K16:K22" si="23">H16+I16+J16</f>
        <v>216.3696</v>
      </c>
      <c r="L16" s="120">
        <v>0.85</v>
      </c>
      <c r="M16" s="116">
        <f t="shared" ref="M16:M22" si="24">ROUND(K16*L16,2)</f>
        <v>183.91</v>
      </c>
      <c r="N16" s="145">
        <v>25</v>
      </c>
      <c r="O16" s="116">
        <v>25</v>
      </c>
      <c r="P16" s="10">
        <v>10</v>
      </c>
      <c r="Q16" s="116"/>
      <c r="R16" s="130">
        <f t="shared" si="14"/>
        <v>60</v>
      </c>
      <c r="S16" s="119">
        <f t="shared" si="15"/>
        <v>243.91</v>
      </c>
      <c r="T16" s="145">
        <v>25</v>
      </c>
      <c r="U16" s="116">
        <v>25</v>
      </c>
      <c r="V16" s="10">
        <v>10</v>
      </c>
      <c r="W16" s="116"/>
      <c r="X16" s="130">
        <f t="shared" si="16"/>
        <v>1041.4092</v>
      </c>
      <c r="Y16" s="120">
        <v>0.85</v>
      </c>
      <c r="Z16" s="130">
        <f t="shared" si="17"/>
        <v>885</v>
      </c>
    </row>
    <row r="17" s="1" customFormat="1" ht="18" customHeight="1" spans="1:26">
      <c r="A17" s="10">
        <v>440224</v>
      </c>
      <c r="B17" s="10" t="s">
        <v>56</v>
      </c>
      <c r="C17" s="10" t="s">
        <v>60</v>
      </c>
      <c r="D17" s="87">
        <f>VLOOKUP(C17,[1]摸底数!B:D,3,0)</f>
        <v>120900</v>
      </c>
      <c r="E17" s="87">
        <v>6625</v>
      </c>
      <c r="F17" s="141">
        <f t="shared" si="18"/>
        <v>78005</v>
      </c>
      <c r="G17" s="141">
        <f t="shared" si="19"/>
        <v>7020</v>
      </c>
      <c r="H17" s="142">
        <f t="shared" si="20"/>
        <v>156.01</v>
      </c>
      <c r="I17" s="116">
        <f t="shared" si="21"/>
        <v>49.14</v>
      </c>
      <c r="J17" s="116">
        <f t="shared" si="22"/>
        <v>2.808</v>
      </c>
      <c r="K17" s="116">
        <f t="shared" si="23"/>
        <v>207.958</v>
      </c>
      <c r="L17" s="120">
        <v>0.85</v>
      </c>
      <c r="M17" s="116">
        <f t="shared" si="24"/>
        <v>176.76</v>
      </c>
      <c r="N17" s="145">
        <v>25</v>
      </c>
      <c r="O17" s="116">
        <v>25</v>
      </c>
      <c r="P17" s="10">
        <v>10</v>
      </c>
      <c r="Q17" s="116"/>
      <c r="R17" s="130">
        <f t="shared" si="14"/>
        <v>60</v>
      </c>
      <c r="S17" s="119">
        <f t="shared" si="15"/>
        <v>236.76</v>
      </c>
      <c r="T17" s="145">
        <v>25</v>
      </c>
      <c r="U17" s="116">
        <v>25</v>
      </c>
      <c r="V17" s="10">
        <v>10</v>
      </c>
      <c r="W17" s="116"/>
      <c r="X17" s="130">
        <f t="shared" si="16"/>
        <v>1010.286</v>
      </c>
      <c r="Y17" s="120">
        <v>0.85</v>
      </c>
      <c r="Z17" s="130">
        <f t="shared" si="17"/>
        <v>859</v>
      </c>
    </row>
    <row r="18" s="1" customFormat="1" ht="18" customHeight="1" spans="1:26">
      <c r="A18" s="10">
        <v>440229</v>
      </c>
      <c r="B18" s="10" t="s">
        <v>56</v>
      </c>
      <c r="C18" s="10" t="s">
        <v>61</v>
      </c>
      <c r="D18" s="87">
        <f>VLOOKUP(C18,[1]摸底数!B:D,3,0)</f>
        <v>188220</v>
      </c>
      <c r="E18" s="87">
        <v>7711</v>
      </c>
      <c r="F18" s="141">
        <f t="shared" si="18"/>
        <v>124043</v>
      </c>
      <c r="G18" s="141">
        <f t="shared" si="19"/>
        <v>11164</v>
      </c>
      <c r="H18" s="142">
        <f t="shared" si="20"/>
        <v>248.086</v>
      </c>
      <c r="I18" s="116">
        <f t="shared" si="21"/>
        <v>78.15</v>
      </c>
      <c r="J18" s="116">
        <f t="shared" si="22"/>
        <v>4.4656</v>
      </c>
      <c r="K18" s="116">
        <f t="shared" si="23"/>
        <v>330.7016</v>
      </c>
      <c r="L18" s="120">
        <v>0.85</v>
      </c>
      <c r="M18" s="116">
        <f t="shared" si="24"/>
        <v>281.1</v>
      </c>
      <c r="N18" s="145">
        <v>25</v>
      </c>
      <c r="O18" s="116">
        <v>25</v>
      </c>
      <c r="P18" s="10">
        <v>10</v>
      </c>
      <c r="Q18" s="116"/>
      <c r="R18" s="130">
        <f t="shared" si="14"/>
        <v>60</v>
      </c>
      <c r="S18" s="119">
        <f t="shared" si="15"/>
        <v>341.1</v>
      </c>
      <c r="T18" s="145">
        <v>25</v>
      </c>
      <c r="U18" s="116">
        <v>25</v>
      </c>
      <c r="V18" s="10">
        <v>10</v>
      </c>
      <c r="W18" s="116"/>
      <c r="X18" s="130">
        <f t="shared" si="16"/>
        <v>1464.4532</v>
      </c>
      <c r="Y18" s="120">
        <v>0.85</v>
      </c>
      <c r="Z18" s="130">
        <f t="shared" si="17"/>
        <v>1245</v>
      </c>
    </row>
    <row r="19" s="1" customFormat="1" ht="18" customHeight="1" spans="1:26">
      <c r="A19" s="10">
        <v>440232</v>
      </c>
      <c r="B19" s="10" t="s">
        <v>56</v>
      </c>
      <c r="C19" s="10" t="s">
        <v>62</v>
      </c>
      <c r="D19" s="87">
        <f>VLOOKUP(C19,[1]摸底数!B:D,3,0)</f>
        <v>120021</v>
      </c>
      <c r="E19" s="87">
        <v>10263</v>
      </c>
      <c r="F19" s="141">
        <f t="shared" si="18"/>
        <v>73752</v>
      </c>
      <c r="G19" s="141">
        <f t="shared" si="19"/>
        <v>6638</v>
      </c>
      <c r="H19" s="142">
        <f t="shared" si="20"/>
        <v>147.504</v>
      </c>
      <c r="I19" s="116">
        <f t="shared" si="21"/>
        <v>46.46</v>
      </c>
      <c r="J19" s="116">
        <f t="shared" si="22"/>
        <v>2.6552</v>
      </c>
      <c r="K19" s="116">
        <f t="shared" si="23"/>
        <v>196.6192</v>
      </c>
      <c r="L19" s="120">
        <v>1</v>
      </c>
      <c r="M19" s="116">
        <f t="shared" si="24"/>
        <v>196.62</v>
      </c>
      <c r="N19" s="145">
        <v>25</v>
      </c>
      <c r="O19" s="116">
        <v>25</v>
      </c>
      <c r="P19" s="10">
        <v>10</v>
      </c>
      <c r="Q19" s="116"/>
      <c r="R19" s="130">
        <f t="shared" si="14"/>
        <v>60</v>
      </c>
      <c r="S19" s="119">
        <f t="shared" si="15"/>
        <v>256.62</v>
      </c>
      <c r="T19" s="145">
        <v>25</v>
      </c>
      <c r="U19" s="116">
        <v>25</v>
      </c>
      <c r="V19" s="10">
        <v>10</v>
      </c>
      <c r="W19" s="116"/>
      <c r="X19" s="130">
        <f t="shared" si="16"/>
        <v>1027.4784</v>
      </c>
      <c r="Y19" s="120">
        <v>1</v>
      </c>
      <c r="Z19" s="130">
        <f t="shared" si="17"/>
        <v>1027</v>
      </c>
    </row>
    <row r="20" s="1" customFormat="1" ht="18" customHeight="1" spans="1:26">
      <c r="A20" s="10">
        <v>440233</v>
      </c>
      <c r="B20" s="10" t="s">
        <v>56</v>
      </c>
      <c r="C20" s="10" t="s">
        <v>63</v>
      </c>
      <c r="D20" s="87">
        <f>VLOOKUP(C20,[1]摸底数!B:D,3,0)</f>
        <v>116590</v>
      </c>
      <c r="E20" s="87">
        <v>2266</v>
      </c>
      <c r="F20" s="141">
        <f t="shared" si="18"/>
        <v>79347</v>
      </c>
      <c r="G20" s="141">
        <f t="shared" si="19"/>
        <v>7141</v>
      </c>
      <c r="H20" s="142">
        <f t="shared" si="20"/>
        <v>158.694</v>
      </c>
      <c r="I20" s="116">
        <f t="shared" si="21"/>
        <v>49.99</v>
      </c>
      <c r="J20" s="116">
        <f t="shared" si="22"/>
        <v>2.8564</v>
      </c>
      <c r="K20" s="116">
        <f t="shared" si="23"/>
        <v>211.5404</v>
      </c>
      <c r="L20" s="120">
        <v>0.85</v>
      </c>
      <c r="M20" s="116">
        <f t="shared" si="24"/>
        <v>179.81</v>
      </c>
      <c r="N20" s="145">
        <v>25</v>
      </c>
      <c r="O20" s="116">
        <v>25</v>
      </c>
      <c r="P20" s="10">
        <v>10</v>
      </c>
      <c r="Q20" s="116"/>
      <c r="R20" s="130">
        <f t="shared" si="14"/>
        <v>60</v>
      </c>
      <c r="S20" s="119">
        <f t="shared" si="15"/>
        <v>239.81</v>
      </c>
      <c r="T20" s="145">
        <v>25</v>
      </c>
      <c r="U20" s="116">
        <v>25</v>
      </c>
      <c r="V20" s="10">
        <v>10</v>
      </c>
      <c r="W20" s="116"/>
      <c r="X20" s="130">
        <f t="shared" si="16"/>
        <v>1023.5508</v>
      </c>
      <c r="Y20" s="120">
        <v>0.85</v>
      </c>
      <c r="Z20" s="130">
        <f t="shared" si="17"/>
        <v>870</v>
      </c>
    </row>
    <row r="21" s="1" customFormat="1" ht="18" customHeight="1" spans="1:26">
      <c r="A21" s="10">
        <v>440281</v>
      </c>
      <c r="B21" s="10" t="s">
        <v>56</v>
      </c>
      <c r="C21" s="10" t="s">
        <v>64</v>
      </c>
      <c r="D21" s="87">
        <f>VLOOKUP(C21,[1]摸底数!B:D,3,0)</f>
        <v>223884</v>
      </c>
      <c r="E21" s="87">
        <v>9370</v>
      </c>
      <c r="F21" s="141">
        <f t="shared" si="18"/>
        <v>147349</v>
      </c>
      <c r="G21" s="141">
        <f t="shared" si="19"/>
        <v>13261</v>
      </c>
      <c r="H21" s="142">
        <f t="shared" si="20"/>
        <v>294.698</v>
      </c>
      <c r="I21" s="116">
        <f t="shared" si="21"/>
        <v>92.83</v>
      </c>
      <c r="J21" s="116">
        <f t="shared" si="22"/>
        <v>5.3044</v>
      </c>
      <c r="K21" s="116">
        <f t="shared" si="23"/>
        <v>392.8324</v>
      </c>
      <c r="L21" s="120">
        <v>0.85</v>
      </c>
      <c r="M21" s="116">
        <f t="shared" si="24"/>
        <v>333.91</v>
      </c>
      <c r="N21" s="145">
        <v>25</v>
      </c>
      <c r="O21" s="116">
        <v>25</v>
      </c>
      <c r="P21" s="10">
        <v>10</v>
      </c>
      <c r="Q21" s="116"/>
      <c r="R21" s="130">
        <f t="shared" si="14"/>
        <v>60</v>
      </c>
      <c r="S21" s="119">
        <f t="shared" si="15"/>
        <v>393.91</v>
      </c>
      <c r="T21" s="145">
        <v>25</v>
      </c>
      <c r="U21" s="116">
        <v>25</v>
      </c>
      <c r="V21" s="10">
        <v>10</v>
      </c>
      <c r="W21" s="116"/>
      <c r="X21" s="130">
        <f t="shared" si="16"/>
        <v>1694.3348</v>
      </c>
      <c r="Y21" s="120">
        <v>0.85</v>
      </c>
      <c r="Z21" s="130">
        <f t="shared" si="17"/>
        <v>1440</v>
      </c>
    </row>
    <row r="22" s="1" customFormat="1" ht="18" customHeight="1" spans="1:26">
      <c r="A22" s="10">
        <v>440282</v>
      </c>
      <c r="B22" s="10" t="s">
        <v>56</v>
      </c>
      <c r="C22" s="10" t="s">
        <v>65</v>
      </c>
      <c r="D22" s="87">
        <f>VLOOKUP(C22,[1]摸底数!B:D,3,0)</f>
        <v>182035</v>
      </c>
      <c r="E22" s="87">
        <v>8587</v>
      </c>
      <c r="F22" s="141">
        <f t="shared" si="18"/>
        <v>118838</v>
      </c>
      <c r="G22" s="141">
        <f t="shared" si="19"/>
        <v>10695</v>
      </c>
      <c r="H22" s="142">
        <f t="shared" si="20"/>
        <v>237.676</v>
      </c>
      <c r="I22" s="116">
        <f t="shared" si="21"/>
        <v>74.87</v>
      </c>
      <c r="J22" s="116">
        <f t="shared" si="22"/>
        <v>4.278</v>
      </c>
      <c r="K22" s="116">
        <f t="shared" si="23"/>
        <v>316.824</v>
      </c>
      <c r="L22" s="120">
        <v>1</v>
      </c>
      <c r="M22" s="116">
        <f t="shared" si="24"/>
        <v>316.82</v>
      </c>
      <c r="N22" s="145">
        <v>25</v>
      </c>
      <c r="O22" s="116">
        <v>25</v>
      </c>
      <c r="P22" s="10">
        <v>10</v>
      </c>
      <c r="Q22" s="116"/>
      <c r="R22" s="130">
        <f t="shared" si="14"/>
        <v>60</v>
      </c>
      <c r="S22" s="119">
        <f t="shared" si="15"/>
        <v>376.82</v>
      </c>
      <c r="T22" s="145">
        <v>25</v>
      </c>
      <c r="U22" s="116">
        <v>25</v>
      </c>
      <c r="V22" s="10">
        <v>10</v>
      </c>
      <c r="W22" s="116"/>
      <c r="X22" s="130">
        <f t="shared" si="16"/>
        <v>1508.288</v>
      </c>
      <c r="Y22" s="120">
        <v>1</v>
      </c>
      <c r="Z22" s="130">
        <f t="shared" si="17"/>
        <v>1508</v>
      </c>
    </row>
    <row r="23" s="4" customFormat="1" ht="18" customHeight="1" spans="1:26">
      <c r="A23" s="22">
        <v>440500</v>
      </c>
      <c r="B23" s="22" t="s">
        <v>66</v>
      </c>
      <c r="C23" s="23" t="s">
        <v>67</v>
      </c>
      <c r="D23" s="140">
        <f t="shared" ref="D23:K23" si="25">SUM(D24:D25)</f>
        <v>46196</v>
      </c>
      <c r="E23" s="140">
        <f t="shared" si="25"/>
        <v>712</v>
      </c>
      <c r="F23" s="140">
        <f t="shared" si="25"/>
        <v>31625</v>
      </c>
      <c r="G23" s="140">
        <f t="shared" si="25"/>
        <v>2846</v>
      </c>
      <c r="H23" s="107">
        <f t="shared" si="25"/>
        <v>63.25</v>
      </c>
      <c r="I23" s="107">
        <f t="shared" si="25"/>
        <v>19.92</v>
      </c>
      <c r="J23" s="107">
        <f t="shared" si="25"/>
        <v>1.1384</v>
      </c>
      <c r="K23" s="107">
        <f t="shared" si="25"/>
        <v>84.3084</v>
      </c>
      <c r="L23" s="107"/>
      <c r="M23" s="107">
        <f t="shared" ref="M23:S23" si="26">SUM(M24:M25)</f>
        <v>71.66</v>
      </c>
      <c r="N23" s="144">
        <f t="shared" si="26"/>
        <v>50</v>
      </c>
      <c r="O23" s="107">
        <f t="shared" si="26"/>
        <v>25</v>
      </c>
      <c r="P23" s="107">
        <f t="shared" si="26"/>
        <v>10</v>
      </c>
      <c r="Q23" s="107">
        <f t="shared" si="26"/>
        <v>0</v>
      </c>
      <c r="R23" s="107">
        <f t="shared" si="26"/>
        <v>85</v>
      </c>
      <c r="S23" s="107">
        <f t="shared" si="26"/>
        <v>156.66</v>
      </c>
      <c r="T23" s="144">
        <f t="shared" ref="T23:X23" si="27">SUM(T24:T25)</f>
        <v>50</v>
      </c>
      <c r="U23" s="107">
        <f t="shared" si="27"/>
        <v>25</v>
      </c>
      <c r="V23" s="22"/>
      <c r="W23" s="107"/>
      <c r="X23" s="107">
        <f t="shared" si="27"/>
        <v>653.6368</v>
      </c>
      <c r="Y23" s="140"/>
      <c r="Z23" s="107">
        <f>SUM(Z24:Z25)</f>
        <v>556</v>
      </c>
    </row>
    <row r="24" s="4" customFormat="1" ht="18" customHeight="1" spans="1:26">
      <c r="A24" s="22"/>
      <c r="B24" s="22"/>
      <c r="C24" s="10" t="s">
        <v>58</v>
      </c>
      <c r="D24" s="140"/>
      <c r="E24" s="140"/>
      <c r="F24" s="140"/>
      <c r="G24" s="140"/>
      <c r="H24" s="107"/>
      <c r="I24" s="107"/>
      <c r="J24" s="107"/>
      <c r="K24" s="107"/>
      <c r="L24" s="120">
        <v>0.85</v>
      </c>
      <c r="M24" s="107"/>
      <c r="N24" s="145">
        <v>25</v>
      </c>
      <c r="O24" s="107"/>
      <c r="P24" s="22"/>
      <c r="Q24" s="107"/>
      <c r="R24" s="130">
        <f t="shared" ref="R24:R31" si="28">T24+U24+V24+W24</f>
        <v>25</v>
      </c>
      <c r="S24" s="119">
        <f t="shared" ref="S24:S31" si="29">M24+R24</f>
        <v>25</v>
      </c>
      <c r="T24" s="145">
        <v>25</v>
      </c>
      <c r="U24" s="107"/>
      <c r="V24" s="22"/>
      <c r="W24" s="107"/>
      <c r="X24" s="130">
        <f t="shared" ref="X24:X31" si="30">SUM(H24:W24)</f>
        <v>100.85</v>
      </c>
      <c r="Y24" s="120">
        <v>0.85</v>
      </c>
      <c r="Z24" s="130">
        <f t="shared" ref="Z24:Z31" si="31">ROUND(X24*Y24,0)</f>
        <v>86</v>
      </c>
    </row>
    <row r="25" s="1" customFormat="1" ht="18" customHeight="1" spans="1:26">
      <c r="A25" s="10">
        <v>440523</v>
      </c>
      <c r="B25" s="10" t="s">
        <v>66</v>
      </c>
      <c r="C25" s="10" t="s">
        <v>68</v>
      </c>
      <c r="D25" s="87">
        <f>VLOOKUP(C25,[1]摸底数!B:D,3,0)</f>
        <v>46196</v>
      </c>
      <c r="E25" s="87">
        <v>712</v>
      </c>
      <c r="F25" s="141">
        <f t="shared" ref="F25:F31" si="32">ROUND(D25*0.7-E25,0)</f>
        <v>31625</v>
      </c>
      <c r="G25" s="141">
        <f t="shared" ref="G25:G31" si="33">ROUND(F25*0.09,0)</f>
        <v>2846</v>
      </c>
      <c r="H25" s="142">
        <f t="shared" ref="H25:H31" si="34">F25*20/10000</f>
        <v>63.25</v>
      </c>
      <c r="I25" s="116">
        <f t="shared" ref="I25:I31" si="35">ROUND(F25*0.5*0.6*21/10000,2)</f>
        <v>19.92</v>
      </c>
      <c r="J25" s="116">
        <f t="shared" ref="J25:J31" si="36">G25*0.4*10/10000</f>
        <v>1.1384</v>
      </c>
      <c r="K25" s="116">
        <f t="shared" ref="K25:K31" si="37">H25+I25+J25</f>
        <v>84.3084</v>
      </c>
      <c r="L25" s="120">
        <v>0.85</v>
      </c>
      <c r="M25" s="116">
        <f t="shared" ref="M25:M31" si="38">ROUND(K25*L25,2)</f>
        <v>71.66</v>
      </c>
      <c r="N25" s="145">
        <v>25</v>
      </c>
      <c r="O25" s="116">
        <v>25</v>
      </c>
      <c r="P25" s="10">
        <v>10</v>
      </c>
      <c r="Q25" s="116"/>
      <c r="R25" s="130">
        <f t="shared" si="28"/>
        <v>60</v>
      </c>
      <c r="S25" s="119">
        <f t="shared" si="29"/>
        <v>131.66</v>
      </c>
      <c r="T25" s="145">
        <v>25</v>
      </c>
      <c r="U25" s="116">
        <v>25</v>
      </c>
      <c r="V25" s="10">
        <v>10</v>
      </c>
      <c r="W25" s="116"/>
      <c r="X25" s="130">
        <f t="shared" si="30"/>
        <v>552.7868</v>
      </c>
      <c r="Y25" s="120">
        <v>0.85</v>
      </c>
      <c r="Z25" s="130">
        <f t="shared" si="31"/>
        <v>470</v>
      </c>
    </row>
    <row r="26" s="4" customFormat="1" ht="18" customHeight="1" spans="1:26">
      <c r="A26" s="22">
        <v>440700</v>
      </c>
      <c r="B26" s="22" t="s">
        <v>69</v>
      </c>
      <c r="C26" s="23" t="s">
        <v>70</v>
      </c>
      <c r="D26" s="140">
        <f t="shared" ref="D26:K26" si="39">SUM(D27:D31)</f>
        <v>1910085</v>
      </c>
      <c r="E26" s="140">
        <f t="shared" si="39"/>
        <v>135514</v>
      </c>
      <c r="F26" s="140">
        <f t="shared" si="39"/>
        <v>1201546</v>
      </c>
      <c r="G26" s="140">
        <f t="shared" si="39"/>
        <v>108140</v>
      </c>
      <c r="H26" s="107">
        <f t="shared" si="39"/>
        <v>2403.092</v>
      </c>
      <c r="I26" s="107">
        <f t="shared" si="39"/>
        <v>756.97</v>
      </c>
      <c r="J26" s="107">
        <f t="shared" si="39"/>
        <v>43.256</v>
      </c>
      <c r="K26" s="107">
        <f t="shared" si="39"/>
        <v>3203.318</v>
      </c>
      <c r="L26" s="107"/>
      <c r="M26" s="107">
        <f t="shared" ref="M26:S26" si="40">SUM(M27:M31)</f>
        <v>2082.15</v>
      </c>
      <c r="N26" s="144">
        <f t="shared" si="40"/>
        <v>125</v>
      </c>
      <c r="O26" s="107">
        <f t="shared" si="40"/>
        <v>100</v>
      </c>
      <c r="P26" s="107">
        <f t="shared" si="40"/>
        <v>40</v>
      </c>
      <c r="Q26" s="107">
        <f t="shared" si="40"/>
        <v>0</v>
      </c>
      <c r="R26" s="107">
        <f t="shared" si="40"/>
        <v>265</v>
      </c>
      <c r="S26" s="107">
        <f t="shared" si="40"/>
        <v>2347.15</v>
      </c>
      <c r="T26" s="144">
        <f t="shared" ref="T26:X26" si="41">SUM(T27:T31)</f>
        <v>125</v>
      </c>
      <c r="U26" s="107">
        <f t="shared" si="41"/>
        <v>100</v>
      </c>
      <c r="V26" s="22"/>
      <c r="W26" s="107"/>
      <c r="X26" s="107">
        <f t="shared" si="41"/>
        <v>11633.536</v>
      </c>
      <c r="Y26" s="140"/>
      <c r="Z26" s="107">
        <f>SUM(Z27:Z31)</f>
        <v>7497</v>
      </c>
    </row>
    <row r="27" s="4" customFormat="1" ht="18" customHeight="1" spans="1:26">
      <c r="A27" s="22"/>
      <c r="B27" s="22"/>
      <c r="C27" s="10" t="s">
        <v>58</v>
      </c>
      <c r="D27" s="140"/>
      <c r="E27" s="140"/>
      <c r="F27" s="140"/>
      <c r="G27" s="140"/>
      <c r="H27" s="107"/>
      <c r="I27" s="107"/>
      <c r="J27" s="107"/>
      <c r="K27" s="107"/>
      <c r="L27" s="122">
        <v>0</v>
      </c>
      <c r="M27" s="107"/>
      <c r="N27" s="145">
        <v>25</v>
      </c>
      <c r="O27" s="107"/>
      <c r="P27" s="22"/>
      <c r="Q27" s="107"/>
      <c r="R27" s="130">
        <f t="shared" si="28"/>
        <v>25</v>
      </c>
      <c r="S27" s="119">
        <f t="shared" si="29"/>
        <v>25</v>
      </c>
      <c r="T27" s="145">
        <v>25</v>
      </c>
      <c r="U27" s="107"/>
      <c r="V27" s="22"/>
      <c r="W27" s="107"/>
      <c r="X27" s="130">
        <f t="shared" si="30"/>
        <v>100</v>
      </c>
      <c r="Y27" s="122">
        <v>0</v>
      </c>
      <c r="Z27" s="130">
        <f t="shared" si="31"/>
        <v>0</v>
      </c>
    </row>
    <row r="28" s="1" customFormat="1" ht="18" customHeight="1" spans="1:26">
      <c r="A28" s="10">
        <v>440781</v>
      </c>
      <c r="B28" s="10" t="s">
        <v>69</v>
      </c>
      <c r="C28" s="10" t="s">
        <v>71</v>
      </c>
      <c r="D28" s="87">
        <f>VLOOKUP(C28,[1]摸底数!B:D,3,0)</f>
        <v>648417</v>
      </c>
      <c r="E28" s="87">
        <v>33006</v>
      </c>
      <c r="F28" s="141">
        <f t="shared" si="32"/>
        <v>420886</v>
      </c>
      <c r="G28" s="141">
        <f t="shared" si="33"/>
        <v>37880</v>
      </c>
      <c r="H28" s="142">
        <f t="shared" si="34"/>
        <v>841.772</v>
      </c>
      <c r="I28" s="116">
        <f t="shared" si="35"/>
        <v>265.16</v>
      </c>
      <c r="J28" s="116">
        <f t="shared" si="36"/>
        <v>15.152</v>
      </c>
      <c r="K28" s="116">
        <f t="shared" si="37"/>
        <v>1122.084</v>
      </c>
      <c r="L28" s="120">
        <v>0.65</v>
      </c>
      <c r="M28" s="116">
        <f t="shared" si="38"/>
        <v>729.35</v>
      </c>
      <c r="N28" s="145">
        <v>25</v>
      </c>
      <c r="O28" s="116">
        <v>25</v>
      </c>
      <c r="P28" s="10">
        <v>10</v>
      </c>
      <c r="Q28" s="116"/>
      <c r="R28" s="130">
        <f t="shared" si="28"/>
        <v>60</v>
      </c>
      <c r="S28" s="119">
        <f t="shared" si="29"/>
        <v>789.35</v>
      </c>
      <c r="T28" s="145">
        <v>25</v>
      </c>
      <c r="U28" s="116">
        <v>25</v>
      </c>
      <c r="V28" s="10">
        <v>10</v>
      </c>
      <c r="W28" s="116"/>
      <c r="X28" s="130">
        <f t="shared" si="30"/>
        <v>3943.518</v>
      </c>
      <c r="Y28" s="120">
        <v>0.65</v>
      </c>
      <c r="Z28" s="130">
        <f t="shared" si="31"/>
        <v>2563</v>
      </c>
    </row>
    <row r="29" s="1" customFormat="1" ht="18" customHeight="1" spans="1:26">
      <c r="A29" s="10">
        <v>440783</v>
      </c>
      <c r="B29" s="10" t="s">
        <v>69</v>
      </c>
      <c r="C29" s="10" t="s">
        <v>72</v>
      </c>
      <c r="D29" s="87">
        <f>VLOOKUP(C29,[1]摸底数!B:D,3,0)</f>
        <v>521740</v>
      </c>
      <c r="E29" s="87">
        <v>48264</v>
      </c>
      <c r="F29" s="141">
        <f t="shared" si="32"/>
        <v>316954</v>
      </c>
      <c r="G29" s="141">
        <f t="shared" si="33"/>
        <v>28526</v>
      </c>
      <c r="H29" s="142">
        <f t="shared" si="34"/>
        <v>633.908</v>
      </c>
      <c r="I29" s="116">
        <f t="shared" si="35"/>
        <v>199.68</v>
      </c>
      <c r="J29" s="116">
        <f t="shared" si="36"/>
        <v>11.4104</v>
      </c>
      <c r="K29" s="116">
        <f t="shared" si="37"/>
        <v>844.9984</v>
      </c>
      <c r="L29" s="120">
        <v>0.65</v>
      </c>
      <c r="M29" s="116">
        <f t="shared" si="38"/>
        <v>549.25</v>
      </c>
      <c r="N29" s="145">
        <v>25</v>
      </c>
      <c r="O29" s="116">
        <v>25</v>
      </c>
      <c r="P29" s="10">
        <v>10</v>
      </c>
      <c r="Q29" s="116"/>
      <c r="R29" s="130">
        <f t="shared" si="28"/>
        <v>60</v>
      </c>
      <c r="S29" s="119">
        <f t="shared" si="29"/>
        <v>609.25</v>
      </c>
      <c r="T29" s="145">
        <v>25</v>
      </c>
      <c r="U29" s="116">
        <v>25</v>
      </c>
      <c r="V29" s="10">
        <v>10</v>
      </c>
      <c r="W29" s="116"/>
      <c r="X29" s="130">
        <f t="shared" si="30"/>
        <v>3029.1468</v>
      </c>
      <c r="Y29" s="120">
        <v>0.65</v>
      </c>
      <c r="Z29" s="130">
        <f t="shared" si="31"/>
        <v>1969</v>
      </c>
    </row>
    <row r="30" s="1" customFormat="1" ht="18" customHeight="1" spans="1:26">
      <c r="A30" s="10">
        <v>440784</v>
      </c>
      <c r="B30" s="10" t="s">
        <v>69</v>
      </c>
      <c r="C30" s="10" t="s">
        <v>73</v>
      </c>
      <c r="D30" s="87">
        <f>VLOOKUP(C30,[1]摸底数!B:D,3,0)</f>
        <v>391945</v>
      </c>
      <c r="E30" s="87">
        <v>22155</v>
      </c>
      <c r="F30" s="141">
        <f t="shared" si="32"/>
        <v>252207</v>
      </c>
      <c r="G30" s="141">
        <f t="shared" si="33"/>
        <v>22699</v>
      </c>
      <c r="H30" s="142">
        <f t="shared" si="34"/>
        <v>504.414</v>
      </c>
      <c r="I30" s="116">
        <f t="shared" si="35"/>
        <v>158.89</v>
      </c>
      <c r="J30" s="116">
        <f t="shared" si="36"/>
        <v>9.0796</v>
      </c>
      <c r="K30" s="116">
        <f t="shared" si="37"/>
        <v>672.3836</v>
      </c>
      <c r="L30" s="120">
        <v>0.65</v>
      </c>
      <c r="M30" s="116">
        <f t="shared" si="38"/>
        <v>437.05</v>
      </c>
      <c r="N30" s="145">
        <v>25</v>
      </c>
      <c r="O30" s="116">
        <v>25</v>
      </c>
      <c r="P30" s="10">
        <v>10</v>
      </c>
      <c r="Q30" s="116"/>
      <c r="R30" s="130">
        <f t="shared" si="28"/>
        <v>60</v>
      </c>
      <c r="S30" s="119">
        <f t="shared" si="29"/>
        <v>497.05</v>
      </c>
      <c r="T30" s="145">
        <v>25</v>
      </c>
      <c r="U30" s="116">
        <v>25</v>
      </c>
      <c r="V30" s="10">
        <v>10</v>
      </c>
      <c r="W30" s="116"/>
      <c r="X30" s="130">
        <f t="shared" si="30"/>
        <v>2459.5172</v>
      </c>
      <c r="Y30" s="120">
        <v>0.65</v>
      </c>
      <c r="Z30" s="130">
        <f t="shared" si="31"/>
        <v>1599</v>
      </c>
    </row>
    <row r="31" s="1" customFormat="1" ht="18" customHeight="1" spans="1:26">
      <c r="A31" s="10">
        <v>440785</v>
      </c>
      <c r="B31" s="10" t="s">
        <v>69</v>
      </c>
      <c r="C31" s="10" t="s">
        <v>74</v>
      </c>
      <c r="D31" s="87">
        <f>VLOOKUP(C31,[1]摸底数!B:D,3,0)</f>
        <v>347983</v>
      </c>
      <c r="E31" s="87">
        <v>32089</v>
      </c>
      <c r="F31" s="141">
        <f t="shared" si="32"/>
        <v>211499</v>
      </c>
      <c r="G31" s="141">
        <f t="shared" si="33"/>
        <v>19035</v>
      </c>
      <c r="H31" s="142">
        <f t="shared" si="34"/>
        <v>422.998</v>
      </c>
      <c r="I31" s="116">
        <f t="shared" si="35"/>
        <v>133.24</v>
      </c>
      <c r="J31" s="116">
        <f t="shared" si="36"/>
        <v>7.614</v>
      </c>
      <c r="K31" s="116">
        <f t="shared" si="37"/>
        <v>563.852</v>
      </c>
      <c r="L31" s="120">
        <v>0.65</v>
      </c>
      <c r="M31" s="116">
        <f t="shared" si="38"/>
        <v>366.5</v>
      </c>
      <c r="N31" s="145">
        <v>25</v>
      </c>
      <c r="O31" s="116">
        <v>25</v>
      </c>
      <c r="P31" s="10">
        <v>10</v>
      </c>
      <c r="Q31" s="116"/>
      <c r="R31" s="130">
        <f t="shared" si="28"/>
        <v>60</v>
      </c>
      <c r="S31" s="119">
        <f t="shared" si="29"/>
        <v>426.5</v>
      </c>
      <c r="T31" s="145">
        <v>25</v>
      </c>
      <c r="U31" s="116">
        <v>25</v>
      </c>
      <c r="V31" s="10">
        <v>10</v>
      </c>
      <c r="W31" s="116"/>
      <c r="X31" s="130">
        <f t="shared" si="30"/>
        <v>2101.354</v>
      </c>
      <c r="Y31" s="120">
        <v>0.65</v>
      </c>
      <c r="Z31" s="130">
        <f t="shared" si="31"/>
        <v>1366</v>
      </c>
    </row>
    <row r="32" s="4" customFormat="1" ht="18" customHeight="1" spans="1:26">
      <c r="A32" s="22">
        <v>440800</v>
      </c>
      <c r="B32" s="22" t="s">
        <v>75</v>
      </c>
      <c r="C32" s="23" t="s">
        <v>76</v>
      </c>
      <c r="D32" s="140">
        <f t="shared" ref="D32:K32" si="42">SUM(D33:D38)</f>
        <v>3079356</v>
      </c>
      <c r="E32" s="140">
        <f t="shared" si="42"/>
        <v>135836</v>
      </c>
      <c r="F32" s="140">
        <f t="shared" si="42"/>
        <v>2019713</v>
      </c>
      <c r="G32" s="140">
        <f t="shared" si="42"/>
        <v>181774</v>
      </c>
      <c r="H32" s="107">
        <f t="shared" si="42"/>
        <v>4039.426</v>
      </c>
      <c r="I32" s="107">
        <f t="shared" si="42"/>
        <v>1272.43</v>
      </c>
      <c r="J32" s="107">
        <f t="shared" si="42"/>
        <v>72.7096</v>
      </c>
      <c r="K32" s="107">
        <f t="shared" si="42"/>
        <v>5384.5656</v>
      </c>
      <c r="L32" s="107"/>
      <c r="M32" s="107">
        <f t="shared" ref="M32:S32" si="43">SUM(M33:M38)</f>
        <v>4576.89</v>
      </c>
      <c r="N32" s="144">
        <f t="shared" si="43"/>
        <v>150</v>
      </c>
      <c r="O32" s="107">
        <f t="shared" si="43"/>
        <v>125</v>
      </c>
      <c r="P32" s="107">
        <f t="shared" si="43"/>
        <v>50</v>
      </c>
      <c r="Q32" s="107">
        <f t="shared" si="43"/>
        <v>0</v>
      </c>
      <c r="R32" s="107">
        <f t="shared" si="43"/>
        <v>325</v>
      </c>
      <c r="S32" s="107">
        <f t="shared" si="43"/>
        <v>4901.89</v>
      </c>
      <c r="T32" s="144">
        <f t="shared" ref="T32:X32" si="44">SUM(T33:T38)</f>
        <v>150</v>
      </c>
      <c r="U32" s="107">
        <f t="shared" si="44"/>
        <v>125</v>
      </c>
      <c r="V32" s="22"/>
      <c r="W32" s="107"/>
      <c r="X32" s="107">
        <f t="shared" si="44"/>
        <v>21228.0112</v>
      </c>
      <c r="Y32" s="140"/>
      <c r="Z32" s="107">
        <f>SUM(Z33:Z38)</f>
        <v>18044</v>
      </c>
    </row>
    <row r="33" s="4" customFormat="1" ht="18" customHeight="1" spans="1:26">
      <c r="A33" s="22"/>
      <c r="B33" s="22"/>
      <c r="C33" s="10" t="s">
        <v>58</v>
      </c>
      <c r="D33" s="140"/>
      <c r="E33" s="140"/>
      <c r="F33" s="140"/>
      <c r="G33" s="140"/>
      <c r="H33" s="107"/>
      <c r="I33" s="107"/>
      <c r="J33" s="107"/>
      <c r="K33" s="107"/>
      <c r="L33" s="120">
        <v>0.85</v>
      </c>
      <c r="M33" s="107"/>
      <c r="N33" s="145">
        <v>25</v>
      </c>
      <c r="O33" s="107"/>
      <c r="P33" s="22"/>
      <c r="Q33" s="107"/>
      <c r="R33" s="130">
        <f t="shared" ref="R33:R38" si="45">T33+U33+V33+W33</f>
        <v>25</v>
      </c>
      <c r="S33" s="119">
        <f t="shared" ref="S33:S38" si="46">M33+R33</f>
        <v>25</v>
      </c>
      <c r="T33" s="145">
        <v>25</v>
      </c>
      <c r="U33" s="107"/>
      <c r="V33" s="22"/>
      <c r="W33" s="107"/>
      <c r="X33" s="130">
        <f t="shared" ref="X33:X38" si="47">SUM(H33:W33)</f>
        <v>100.85</v>
      </c>
      <c r="Y33" s="120">
        <v>0.85</v>
      </c>
      <c r="Z33" s="130">
        <f t="shared" ref="Z33:Z38" si="48">ROUND(X33*Y33,0)</f>
        <v>86</v>
      </c>
    </row>
    <row r="34" s="1" customFormat="1" ht="18" customHeight="1" spans="1:26">
      <c r="A34" s="10">
        <v>440823</v>
      </c>
      <c r="B34" s="10" t="s">
        <v>75</v>
      </c>
      <c r="C34" s="10" t="s">
        <v>77</v>
      </c>
      <c r="D34" s="87">
        <f>VLOOKUP(C34,[1]摸底数!B:D,3,0)</f>
        <v>497405</v>
      </c>
      <c r="E34" s="87">
        <v>18499</v>
      </c>
      <c r="F34" s="141">
        <f t="shared" ref="F34:F38" si="49">ROUND(D34*0.7-E34,0)</f>
        <v>329685</v>
      </c>
      <c r="G34" s="141">
        <f t="shared" ref="G34:G38" si="50">ROUND(F34*0.09,0)</f>
        <v>29672</v>
      </c>
      <c r="H34" s="142">
        <f t="shared" ref="H34:H38" si="51">F34*20/10000</f>
        <v>659.37</v>
      </c>
      <c r="I34" s="116">
        <f t="shared" ref="I34:I38" si="52">ROUND(F34*0.5*0.6*21/10000,2)</f>
        <v>207.7</v>
      </c>
      <c r="J34" s="116">
        <f t="shared" ref="J34:J38" si="53">G34*0.4*10/10000</f>
        <v>11.8688</v>
      </c>
      <c r="K34" s="116">
        <f t="shared" ref="K34:K38" si="54">H34+I34+J34</f>
        <v>878.9388</v>
      </c>
      <c r="L34" s="120">
        <v>0.85</v>
      </c>
      <c r="M34" s="116">
        <f t="shared" ref="M34:M38" si="55">ROUND(K34*L34,2)</f>
        <v>747.1</v>
      </c>
      <c r="N34" s="145">
        <v>25</v>
      </c>
      <c r="O34" s="116">
        <v>25</v>
      </c>
      <c r="P34" s="10">
        <v>10</v>
      </c>
      <c r="Q34" s="116"/>
      <c r="R34" s="130">
        <f t="shared" si="45"/>
        <v>60</v>
      </c>
      <c r="S34" s="119">
        <f t="shared" si="46"/>
        <v>807.1</v>
      </c>
      <c r="T34" s="145">
        <v>25</v>
      </c>
      <c r="U34" s="116">
        <v>25</v>
      </c>
      <c r="V34" s="10">
        <v>10</v>
      </c>
      <c r="W34" s="116"/>
      <c r="X34" s="130">
        <f t="shared" si="47"/>
        <v>3492.9276</v>
      </c>
      <c r="Y34" s="120">
        <v>0.85</v>
      </c>
      <c r="Z34" s="130">
        <f t="shared" si="48"/>
        <v>2969</v>
      </c>
    </row>
    <row r="35" s="1" customFormat="1" ht="18" customHeight="1" spans="1:26">
      <c r="A35" s="10">
        <v>440825</v>
      </c>
      <c r="B35" s="10" t="s">
        <v>75</v>
      </c>
      <c r="C35" s="10" t="s">
        <v>78</v>
      </c>
      <c r="D35" s="87">
        <f>VLOOKUP(C35,[1]摸底数!B:D,3,0)</f>
        <v>454269</v>
      </c>
      <c r="E35" s="87">
        <v>18583</v>
      </c>
      <c r="F35" s="141">
        <f t="shared" si="49"/>
        <v>299405</v>
      </c>
      <c r="G35" s="141">
        <f t="shared" si="50"/>
        <v>26946</v>
      </c>
      <c r="H35" s="142">
        <f t="shared" si="51"/>
        <v>598.81</v>
      </c>
      <c r="I35" s="116">
        <f t="shared" si="52"/>
        <v>188.63</v>
      </c>
      <c r="J35" s="116">
        <f t="shared" si="53"/>
        <v>10.7784</v>
      </c>
      <c r="K35" s="116">
        <f t="shared" si="54"/>
        <v>798.2184</v>
      </c>
      <c r="L35" s="120">
        <v>0.85</v>
      </c>
      <c r="M35" s="116">
        <f t="shared" si="55"/>
        <v>678.49</v>
      </c>
      <c r="N35" s="145">
        <v>25</v>
      </c>
      <c r="O35" s="116">
        <v>25</v>
      </c>
      <c r="P35" s="10">
        <v>10</v>
      </c>
      <c r="Q35" s="116"/>
      <c r="R35" s="130">
        <f t="shared" si="45"/>
        <v>60</v>
      </c>
      <c r="S35" s="119">
        <f t="shared" si="46"/>
        <v>738.49</v>
      </c>
      <c r="T35" s="145">
        <v>25</v>
      </c>
      <c r="U35" s="116">
        <v>25</v>
      </c>
      <c r="V35" s="10">
        <v>10</v>
      </c>
      <c r="W35" s="116"/>
      <c r="X35" s="130">
        <f t="shared" si="47"/>
        <v>3194.2668</v>
      </c>
      <c r="Y35" s="120">
        <v>0.85</v>
      </c>
      <c r="Z35" s="130">
        <f t="shared" si="48"/>
        <v>2715</v>
      </c>
    </row>
    <row r="36" s="1" customFormat="1" ht="18" customHeight="1" spans="1:26">
      <c r="A36" s="10">
        <v>440881</v>
      </c>
      <c r="B36" s="10" t="s">
        <v>75</v>
      </c>
      <c r="C36" s="10" t="s">
        <v>79</v>
      </c>
      <c r="D36" s="87">
        <f>VLOOKUP(C36,[1]摸底数!B:D,3,0)</f>
        <v>801879</v>
      </c>
      <c r="E36" s="87">
        <v>28973</v>
      </c>
      <c r="F36" s="141">
        <f t="shared" si="49"/>
        <v>532342</v>
      </c>
      <c r="G36" s="141">
        <f t="shared" si="50"/>
        <v>47911</v>
      </c>
      <c r="H36" s="142">
        <f t="shared" si="51"/>
        <v>1064.684</v>
      </c>
      <c r="I36" s="116">
        <f t="shared" si="52"/>
        <v>335.38</v>
      </c>
      <c r="J36" s="116">
        <f t="shared" si="53"/>
        <v>19.1644</v>
      </c>
      <c r="K36" s="116">
        <f t="shared" si="54"/>
        <v>1419.2284</v>
      </c>
      <c r="L36" s="120">
        <v>0.85</v>
      </c>
      <c r="M36" s="116">
        <f t="shared" si="55"/>
        <v>1206.34</v>
      </c>
      <c r="N36" s="145">
        <v>25</v>
      </c>
      <c r="O36" s="116">
        <v>25</v>
      </c>
      <c r="P36" s="10">
        <v>10</v>
      </c>
      <c r="Q36" s="116"/>
      <c r="R36" s="130">
        <f t="shared" si="45"/>
        <v>60</v>
      </c>
      <c r="S36" s="119">
        <f t="shared" si="46"/>
        <v>1266.34</v>
      </c>
      <c r="T36" s="145">
        <v>25</v>
      </c>
      <c r="U36" s="116">
        <v>25</v>
      </c>
      <c r="V36" s="10">
        <v>10</v>
      </c>
      <c r="W36" s="116"/>
      <c r="X36" s="130">
        <f t="shared" si="47"/>
        <v>5491.9868</v>
      </c>
      <c r="Y36" s="120">
        <v>0.85</v>
      </c>
      <c r="Z36" s="130">
        <f t="shared" si="48"/>
        <v>4668</v>
      </c>
    </row>
    <row r="37" s="1" customFormat="1" ht="18" customHeight="1" spans="1:26">
      <c r="A37" s="10">
        <v>440882</v>
      </c>
      <c r="B37" s="10" t="s">
        <v>75</v>
      </c>
      <c r="C37" s="10" t="s">
        <v>80</v>
      </c>
      <c r="D37" s="87">
        <f>VLOOKUP(C37,[1]摸底数!B:D,3,0)</f>
        <v>775857</v>
      </c>
      <c r="E37" s="87">
        <v>16123</v>
      </c>
      <c r="F37" s="141">
        <f t="shared" si="49"/>
        <v>526977</v>
      </c>
      <c r="G37" s="141">
        <f t="shared" si="50"/>
        <v>47428</v>
      </c>
      <c r="H37" s="142">
        <f t="shared" si="51"/>
        <v>1053.954</v>
      </c>
      <c r="I37" s="116">
        <f t="shared" si="52"/>
        <v>332</v>
      </c>
      <c r="J37" s="116">
        <f t="shared" si="53"/>
        <v>18.9712</v>
      </c>
      <c r="K37" s="116">
        <f t="shared" si="54"/>
        <v>1404.9252</v>
      </c>
      <c r="L37" s="120">
        <v>0.85</v>
      </c>
      <c r="M37" s="116">
        <f t="shared" si="55"/>
        <v>1194.19</v>
      </c>
      <c r="N37" s="145">
        <v>25</v>
      </c>
      <c r="O37" s="116">
        <v>25</v>
      </c>
      <c r="P37" s="10">
        <v>10</v>
      </c>
      <c r="Q37" s="116"/>
      <c r="R37" s="130">
        <f t="shared" si="45"/>
        <v>60</v>
      </c>
      <c r="S37" s="119">
        <f t="shared" si="46"/>
        <v>1254.19</v>
      </c>
      <c r="T37" s="145">
        <v>25</v>
      </c>
      <c r="U37" s="116">
        <v>25</v>
      </c>
      <c r="V37" s="10">
        <v>10</v>
      </c>
      <c r="W37" s="116"/>
      <c r="X37" s="130">
        <f t="shared" si="47"/>
        <v>5439.0804</v>
      </c>
      <c r="Y37" s="120">
        <v>0.85</v>
      </c>
      <c r="Z37" s="130">
        <f t="shared" si="48"/>
        <v>4623</v>
      </c>
    </row>
    <row r="38" s="1" customFormat="1" ht="18" customHeight="1" spans="1:26">
      <c r="A38" s="10">
        <v>440883</v>
      </c>
      <c r="B38" s="10" t="s">
        <v>75</v>
      </c>
      <c r="C38" s="10" t="s">
        <v>81</v>
      </c>
      <c r="D38" s="87">
        <f>VLOOKUP(C38,[1]摸底数!B:D,3,0)</f>
        <v>549946</v>
      </c>
      <c r="E38" s="87">
        <v>53658</v>
      </c>
      <c r="F38" s="141">
        <f t="shared" si="49"/>
        <v>331304</v>
      </c>
      <c r="G38" s="141">
        <f t="shared" si="50"/>
        <v>29817</v>
      </c>
      <c r="H38" s="142">
        <f t="shared" si="51"/>
        <v>662.608</v>
      </c>
      <c r="I38" s="116">
        <f t="shared" si="52"/>
        <v>208.72</v>
      </c>
      <c r="J38" s="116">
        <f t="shared" si="53"/>
        <v>11.9268</v>
      </c>
      <c r="K38" s="116">
        <f t="shared" si="54"/>
        <v>883.2548</v>
      </c>
      <c r="L38" s="120">
        <v>0.85</v>
      </c>
      <c r="M38" s="116">
        <f t="shared" si="55"/>
        <v>750.77</v>
      </c>
      <c r="N38" s="145">
        <v>25</v>
      </c>
      <c r="O38" s="116">
        <v>25</v>
      </c>
      <c r="P38" s="10">
        <v>10</v>
      </c>
      <c r="Q38" s="116"/>
      <c r="R38" s="130">
        <f t="shared" si="45"/>
        <v>60</v>
      </c>
      <c r="S38" s="119">
        <f t="shared" si="46"/>
        <v>810.77</v>
      </c>
      <c r="T38" s="145">
        <v>25</v>
      </c>
      <c r="U38" s="116">
        <v>25</v>
      </c>
      <c r="V38" s="10">
        <v>10</v>
      </c>
      <c r="W38" s="116"/>
      <c r="X38" s="130">
        <f t="shared" si="47"/>
        <v>3508.8996</v>
      </c>
      <c r="Y38" s="120">
        <v>0.85</v>
      </c>
      <c r="Z38" s="130">
        <f t="shared" si="48"/>
        <v>2983</v>
      </c>
    </row>
    <row r="39" s="4" customFormat="1" ht="18" customHeight="1" spans="1:26">
      <c r="A39" s="22">
        <v>440900</v>
      </c>
      <c r="B39" s="22" t="s">
        <v>82</v>
      </c>
      <c r="C39" s="23" t="s">
        <v>83</v>
      </c>
      <c r="D39" s="140">
        <f t="shared" ref="D39:K39" si="56">SUM(D40:D43)</f>
        <v>1860263</v>
      </c>
      <c r="E39" s="140">
        <f t="shared" si="56"/>
        <v>80589</v>
      </c>
      <c r="F39" s="140">
        <f t="shared" si="56"/>
        <v>1121595</v>
      </c>
      <c r="G39" s="140">
        <f t="shared" si="56"/>
        <v>100943</v>
      </c>
      <c r="H39" s="107">
        <f t="shared" si="56"/>
        <v>2243.19</v>
      </c>
      <c r="I39" s="107">
        <f t="shared" si="56"/>
        <v>706.61</v>
      </c>
      <c r="J39" s="107">
        <f t="shared" si="56"/>
        <v>40.3772</v>
      </c>
      <c r="K39" s="107">
        <f t="shared" si="56"/>
        <v>2990.1772</v>
      </c>
      <c r="L39" s="107"/>
      <c r="M39" s="107">
        <f t="shared" ref="M39:S39" si="57">SUM(M40:M43)</f>
        <v>2541.65</v>
      </c>
      <c r="N39" s="144">
        <f t="shared" si="57"/>
        <v>100</v>
      </c>
      <c r="O39" s="107">
        <f t="shared" si="57"/>
        <v>75</v>
      </c>
      <c r="P39" s="107">
        <f t="shared" si="57"/>
        <v>30</v>
      </c>
      <c r="Q39" s="107">
        <f t="shared" si="57"/>
        <v>0</v>
      </c>
      <c r="R39" s="107">
        <f t="shared" si="57"/>
        <v>205</v>
      </c>
      <c r="S39" s="107">
        <f t="shared" si="57"/>
        <v>2746.65</v>
      </c>
      <c r="T39" s="144">
        <f t="shared" ref="T39:X39" si="58">SUM(T40:T43)</f>
        <v>100</v>
      </c>
      <c r="U39" s="107">
        <f t="shared" si="58"/>
        <v>75</v>
      </c>
      <c r="V39" s="22"/>
      <c r="W39" s="107"/>
      <c r="X39" s="107">
        <f t="shared" si="58"/>
        <v>11887.0544</v>
      </c>
      <c r="Y39" s="140"/>
      <c r="Z39" s="107">
        <f>SUM(Z40:Z43)</f>
        <v>10105</v>
      </c>
    </row>
    <row r="40" s="4" customFormat="1" ht="18" customHeight="1" spans="1:26">
      <c r="A40" s="22"/>
      <c r="B40" s="22"/>
      <c r="C40" s="10" t="s">
        <v>58</v>
      </c>
      <c r="D40" s="140"/>
      <c r="E40" s="140"/>
      <c r="F40" s="140"/>
      <c r="G40" s="140"/>
      <c r="H40" s="107"/>
      <c r="I40" s="107"/>
      <c r="J40" s="107"/>
      <c r="K40" s="107"/>
      <c r="L40" s="120">
        <v>0.85</v>
      </c>
      <c r="M40" s="107"/>
      <c r="N40" s="145">
        <v>25</v>
      </c>
      <c r="O40" s="107"/>
      <c r="P40" s="22"/>
      <c r="Q40" s="107"/>
      <c r="R40" s="130">
        <f t="shared" ref="R40:R43" si="59">T40+U40+V40+W40</f>
        <v>25</v>
      </c>
      <c r="S40" s="119">
        <f t="shared" ref="S40:S43" si="60">M40+R40</f>
        <v>25</v>
      </c>
      <c r="T40" s="145">
        <v>25</v>
      </c>
      <c r="U40" s="107"/>
      <c r="V40" s="22"/>
      <c r="W40" s="107"/>
      <c r="X40" s="130">
        <f>SUM(H40:W40)</f>
        <v>100.85</v>
      </c>
      <c r="Y40" s="120">
        <v>0.85</v>
      </c>
      <c r="Z40" s="130">
        <f t="shared" ref="Z40:Z43" si="61">ROUND(X40*Y40,0)</f>
        <v>86</v>
      </c>
    </row>
    <row r="41" s="1" customFormat="1" ht="18" customHeight="1" spans="1:26">
      <c r="A41" s="10">
        <v>440981</v>
      </c>
      <c r="B41" s="10" t="s">
        <v>82</v>
      </c>
      <c r="C41" s="10" t="s">
        <v>84</v>
      </c>
      <c r="D41" s="87">
        <f>VLOOKUP(C41,[1]摸底数!B:D,3,0)</f>
        <v>712309</v>
      </c>
      <c r="E41" s="87">
        <v>35048</v>
      </c>
      <c r="F41" s="141">
        <f t="shared" ref="F41:F50" si="62">ROUND(D41*0.7-E41,0)</f>
        <v>463568</v>
      </c>
      <c r="G41" s="141">
        <f t="shared" ref="G41:G43" si="63">ROUND(F41*0.09,0)</f>
        <v>41721</v>
      </c>
      <c r="H41" s="142">
        <f t="shared" ref="H41:H43" si="64">F41*20/10000</f>
        <v>927.136</v>
      </c>
      <c r="I41" s="116">
        <f t="shared" ref="I41:I43" si="65">ROUND(F41*0.5*0.6*21/10000,2)</f>
        <v>292.05</v>
      </c>
      <c r="J41" s="116">
        <f t="shared" ref="J41:J43" si="66">G41*0.4*10/10000</f>
        <v>16.6884</v>
      </c>
      <c r="K41" s="116">
        <f t="shared" ref="K41:K43" si="67">H41+I41+J41</f>
        <v>1235.8744</v>
      </c>
      <c r="L41" s="120">
        <v>0.85</v>
      </c>
      <c r="M41" s="116">
        <f t="shared" ref="M41:M43" si="68">ROUND(K41*L41,2)</f>
        <v>1050.49</v>
      </c>
      <c r="N41" s="145">
        <v>25</v>
      </c>
      <c r="O41" s="116">
        <v>25</v>
      </c>
      <c r="P41" s="10">
        <v>10</v>
      </c>
      <c r="Q41" s="116"/>
      <c r="R41" s="130">
        <f t="shared" si="59"/>
        <v>60</v>
      </c>
      <c r="S41" s="119">
        <f t="shared" si="60"/>
        <v>1110.49</v>
      </c>
      <c r="T41" s="145">
        <v>25</v>
      </c>
      <c r="U41" s="116">
        <v>25</v>
      </c>
      <c r="V41" s="10">
        <v>10</v>
      </c>
      <c r="W41" s="116"/>
      <c r="X41" s="130">
        <f>SUM(H41:W41)</f>
        <v>4813.5788</v>
      </c>
      <c r="Y41" s="120">
        <v>0.85</v>
      </c>
      <c r="Z41" s="130">
        <f t="shared" si="61"/>
        <v>4092</v>
      </c>
    </row>
    <row r="42" s="1" customFormat="1" ht="18" customHeight="1" spans="1:26">
      <c r="A42" s="10">
        <v>440982</v>
      </c>
      <c r="B42" s="10" t="s">
        <v>82</v>
      </c>
      <c r="C42" s="10" t="s">
        <v>85</v>
      </c>
      <c r="D42" s="87">
        <f>VLOOKUP(C42,[1]摸底数!B:D,3,0)</f>
        <v>614131</v>
      </c>
      <c r="E42" s="87">
        <v>19558</v>
      </c>
      <c r="F42" s="143">
        <f>ROUND(D42*0.7-100000-E42,0)</f>
        <v>310334</v>
      </c>
      <c r="G42" s="141">
        <f t="shared" si="63"/>
        <v>27930</v>
      </c>
      <c r="H42" s="142">
        <f t="shared" si="64"/>
        <v>620.668</v>
      </c>
      <c r="I42" s="116">
        <f t="shared" si="65"/>
        <v>195.51</v>
      </c>
      <c r="J42" s="116">
        <f t="shared" si="66"/>
        <v>11.172</v>
      </c>
      <c r="K42" s="116">
        <f t="shared" si="67"/>
        <v>827.35</v>
      </c>
      <c r="L42" s="120">
        <v>0.85</v>
      </c>
      <c r="M42" s="116">
        <f t="shared" si="68"/>
        <v>703.25</v>
      </c>
      <c r="N42" s="145">
        <v>25</v>
      </c>
      <c r="O42" s="116">
        <v>25</v>
      </c>
      <c r="P42" s="10">
        <v>10</v>
      </c>
      <c r="Q42" s="116"/>
      <c r="R42" s="130">
        <f t="shared" si="59"/>
        <v>60</v>
      </c>
      <c r="S42" s="119">
        <f t="shared" si="60"/>
        <v>763.25</v>
      </c>
      <c r="T42" s="145">
        <v>25</v>
      </c>
      <c r="U42" s="116">
        <v>25</v>
      </c>
      <c r="V42" s="10">
        <v>10</v>
      </c>
      <c r="W42" s="116"/>
      <c r="X42" s="130">
        <f>SUM(H42:W42)</f>
        <v>3302.05</v>
      </c>
      <c r="Y42" s="120">
        <v>0.85</v>
      </c>
      <c r="Z42" s="130">
        <f t="shared" si="61"/>
        <v>2807</v>
      </c>
    </row>
    <row r="43" s="1" customFormat="1" ht="18" customHeight="1" spans="1:26">
      <c r="A43" s="10">
        <v>440983</v>
      </c>
      <c r="B43" s="10" t="s">
        <v>82</v>
      </c>
      <c r="C43" s="10" t="s">
        <v>86</v>
      </c>
      <c r="D43" s="87">
        <f>VLOOKUP(C43,[1]摸底数!B:D,3,0)</f>
        <v>533823</v>
      </c>
      <c r="E43" s="87">
        <v>25983</v>
      </c>
      <c r="F43" s="141">
        <f t="shared" si="62"/>
        <v>347693</v>
      </c>
      <c r="G43" s="141">
        <f t="shared" si="63"/>
        <v>31292</v>
      </c>
      <c r="H43" s="142">
        <f t="shared" si="64"/>
        <v>695.386</v>
      </c>
      <c r="I43" s="116">
        <f t="shared" si="65"/>
        <v>219.05</v>
      </c>
      <c r="J43" s="116">
        <f t="shared" si="66"/>
        <v>12.5168</v>
      </c>
      <c r="K43" s="116">
        <f t="shared" si="67"/>
        <v>926.9528</v>
      </c>
      <c r="L43" s="120">
        <v>0.85</v>
      </c>
      <c r="M43" s="116">
        <f t="shared" si="68"/>
        <v>787.91</v>
      </c>
      <c r="N43" s="145">
        <v>25</v>
      </c>
      <c r="O43" s="116">
        <v>25</v>
      </c>
      <c r="P43" s="10">
        <v>10</v>
      </c>
      <c r="Q43" s="116"/>
      <c r="R43" s="130">
        <f t="shared" si="59"/>
        <v>60</v>
      </c>
      <c r="S43" s="119">
        <f t="shared" si="60"/>
        <v>847.91</v>
      </c>
      <c r="T43" s="145">
        <v>25</v>
      </c>
      <c r="U43" s="116">
        <v>25</v>
      </c>
      <c r="V43" s="10">
        <v>10</v>
      </c>
      <c r="W43" s="116"/>
      <c r="X43" s="130">
        <f>SUM(H43:W43)</f>
        <v>3670.5756</v>
      </c>
      <c r="Y43" s="120">
        <v>0.85</v>
      </c>
      <c r="Z43" s="130">
        <f t="shared" si="61"/>
        <v>3120</v>
      </c>
    </row>
    <row r="44" s="4" customFormat="1" ht="18" customHeight="1" spans="1:26">
      <c r="A44" s="22">
        <v>441200</v>
      </c>
      <c r="B44" s="22" t="s">
        <v>87</v>
      </c>
      <c r="C44" s="23" t="s">
        <v>88</v>
      </c>
      <c r="D44" s="140">
        <f t="shared" ref="D44:K44" si="69">SUM(D45:D50)</f>
        <v>1384019</v>
      </c>
      <c r="E44" s="140">
        <f t="shared" si="69"/>
        <v>71147</v>
      </c>
      <c r="F44" s="140">
        <f t="shared" si="69"/>
        <v>897667</v>
      </c>
      <c r="G44" s="140">
        <f t="shared" si="69"/>
        <v>80790</v>
      </c>
      <c r="H44" s="107">
        <f t="shared" si="69"/>
        <v>1795.334</v>
      </c>
      <c r="I44" s="107">
        <f t="shared" si="69"/>
        <v>565.54</v>
      </c>
      <c r="J44" s="107">
        <f t="shared" si="69"/>
        <v>32.316</v>
      </c>
      <c r="K44" s="107">
        <f t="shared" si="69"/>
        <v>2393.19</v>
      </c>
      <c r="L44" s="107"/>
      <c r="M44" s="107">
        <f t="shared" ref="M44:S44" si="70">SUM(M45:M50)</f>
        <v>1914.58</v>
      </c>
      <c r="N44" s="144">
        <f t="shared" si="70"/>
        <v>150</v>
      </c>
      <c r="O44" s="107">
        <f t="shared" si="70"/>
        <v>125</v>
      </c>
      <c r="P44" s="107">
        <f t="shared" si="70"/>
        <v>50</v>
      </c>
      <c r="Q44" s="107">
        <f t="shared" si="70"/>
        <v>0</v>
      </c>
      <c r="R44" s="107">
        <f t="shared" si="70"/>
        <v>325</v>
      </c>
      <c r="S44" s="107">
        <f t="shared" si="70"/>
        <v>2239.58</v>
      </c>
      <c r="T44" s="144">
        <f t="shared" ref="T44:X44" si="71">SUM(T45:T50)</f>
        <v>150</v>
      </c>
      <c r="U44" s="107">
        <f t="shared" si="71"/>
        <v>125</v>
      </c>
      <c r="V44" s="22"/>
      <c r="W44" s="107"/>
      <c r="X44" s="107">
        <f t="shared" si="71"/>
        <v>9920.24</v>
      </c>
      <c r="Y44" s="140"/>
      <c r="Z44" s="107">
        <f>SUM(Z45:Z50)</f>
        <v>7967</v>
      </c>
    </row>
    <row r="45" s="4" customFormat="1" ht="18" customHeight="1" spans="1:26">
      <c r="A45" s="22"/>
      <c r="B45" s="22"/>
      <c r="C45" s="10" t="s">
        <v>58</v>
      </c>
      <c r="D45" s="140"/>
      <c r="E45" s="140"/>
      <c r="F45" s="140"/>
      <c r="G45" s="140"/>
      <c r="H45" s="107"/>
      <c r="I45" s="107"/>
      <c r="J45" s="107"/>
      <c r="K45" s="107"/>
      <c r="L45" s="120">
        <v>0.65</v>
      </c>
      <c r="M45" s="107"/>
      <c r="N45" s="145">
        <v>25</v>
      </c>
      <c r="O45" s="107"/>
      <c r="P45" s="22"/>
      <c r="Q45" s="107"/>
      <c r="R45" s="130">
        <f t="shared" ref="R45:R50" si="72">T45+U45+V45+W45</f>
        <v>25</v>
      </c>
      <c r="S45" s="119">
        <f t="shared" ref="S45:S50" si="73">M45+R45</f>
        <v>25</v>
      </c>
      <c r="T45" s="145">
        <v>25</v>
      </c>
      <c r="U45" s="107"/>
      <c r="V45" s="22"/>
      <c r="W45" s="107"/>
      <c r="X45" s="130">
        <f t="shared" ref="X45:X50" si="74">SUM(H45:W45)</f>
        <v>100.65</v>
      </c>
      <c r="Y45" s="120">
        <v>0.65</v>
      </c>
      <c r="Z45" s="130">
        <f t="shared" ref="Z45:Z50" si="75">ROUND(X45*Y45,0)</f>
        <v>65</v>
      </c>
    </row>
    <row r="46" s="1" customFormat="1" ht="18" customHeight="1" spans="1:26">
      <c r="A46" s="10">
        <v>441223</v>
      </c>
      <c r="B46" s="10" t="s">
        <v>87</v>
      </c>
      <c r="C46" s="10" t="s">
        <v>89</v>
      </c>
      <c r="D46" s="87">
        <f>VLOOKUP(C46,[1]摸底数!B:D,3,0)</f>
        <v>254266</v>
      </c>
      <c r="E46" s="87">
        <v>14149</v>
      </c>
      <c r="F46" s="141">
        <f t="shared" si="62"/>
        <v>163837</v>
      </c>
      <c r="G46" s="141">
        <f t="shared" ref="G46:G50" si="76">ROUND(F46*0.09,0)</f>
        <v>14745</v>
      </c>
      <c r="H46" s="142">
        <f t="shared" ref="H46:H50" si="77">F46*20/10000</f>
        <v>327.674</v>
      </c>
      <c r="I46" s="116">
        <f t="shared" ref="I46:I50" si="78">ROUND(F46*0.5*0.6*21/10000,2)</f>
        <v>103.22</v>
      </c>
      <c r="J46" s="116">
        <f t="shared" ref="J46:J50" si="79">G46*0.4*10/10000</f>
        <v>5.898</v>
      </c>
      <c r="K46" s="116">
        <f t="shared" ref="K46:K50" si="80">H46+I46+J46</f>
        <v>436.792</v>
      </c>
      <c r="L46" s="120">
        <v>0.85</v>
      </c>
      <c r="M46" s="116">
        <f t="shared" ref="M46:M50" si="81">ROUND(K46*L46,2)</f>
        <v>371.27</v>
      </c>
      <c r="N46" s="145">
        <v>25</v>
      </c>
      <c r="O46" s="116">
        <v>25</v>
      </c>
      <c r="P46" s="10">
        <v>10</v>
      </c>
      <c r="Q46" s="116"/>
      <c r="R46" s="130">
        <f t="shared" si="72"/>
        <v>60</v>
      </c>
      <c r="S46" s="119">
        <f t="shared" si="73"/>
        <v>431.27</v>
      </c>
      <c r="T46" s="145">
        <v>25</v>
      </c>
      <c r="U46" s="116">
        <v>25</v>
      </c>
      <c r="V46" s="10">
        <v>10</v>
      </c>
      <c r="W46" s="116"/>
      <c r="X46" s="130">
        <f t="shared" si="74"/>
        <v>1856.974</v>
      </c>
      <c r="Y46" s="120">
        <v>0.85</v>
      </c>
      <c r="Z46" s="130">
        <f t="shared" si="75"/>
        <v>1578</v>
      </c>
    </row>
    <row r="47" s="1" customFormat="1" ht="18" customHeight="1" spans="1:26">
      <c r="A47" s="10">
        <v>441224</v>
      </c>
      <c r="B47" s="10" t="s">
        <v>87</v>
      </c>
      <c r="C47" s="10" t="s">
        <v>90</v>
      </c>
      <c r="D47" s="87">
        <f>VLOOKUP(C47,[1]摸底数!B:D,3,0)</f>
        <v>386138</v>
      </c>
      <c r="E47" s="87">
        <v>23002</v>
      </c>
      <c r="F47" s="141">
        <f t="shared" si="62"/>
        <v>247295</v>
      </c>
      <c r="G47" s="141">
        <f t="shared" si="76"/>
        <v>22257</v>
      </c>
      <c r="H47" s="142">
        <f t="shared" si="77"/>
        <v>494.59</v>
      </c>
      <c r="I47" s="116">
        <f t="shared" si="78"/>
        <v>155.8</v>
      </c>
      <c r="J47" s="116">
        <f t="shared" si="79"/>
        <v>8.9028</v>
      </c>
      <c r="K47" s="116">
        <f t="shared" si="80"/>
        <v>659.2928</v>
      </c>
      <c r="L47" s="120">
        <v>0.85</v>
      </c>
      <c r="M47" s="116">
        <f t="shared" si="81"/>
        <v>560.4</v>
      </c>
      <c r="N47" s="145">
        <v>25</v>
      </c>
      <c r="O47" s="116">
        <v>25</v>
      </c>
      <c r="P47" s="10">
        <v>10</v>
      </c>
      <c r="Q47" s="116"/>
      <c r="R47" s="130">
        <f t="shared" si="72"/>
        <v>60</v>
      </c>
      <c r="S47" s="119">
        <f t="shared" si="73"/>
        <v>620.4</v>
      </c>
      <c r="T47" s="145">
        <v>25</v>
      </c>
      <c r="U47" s="116">
        <v>25</v>
      </c>
      <c r="V47" s="10">
        <v>10</v>
      </c>
      <c r="W47" s="116"/>
      <c r="X47" s="130">
        <f t="shared" si="74"/>
        <v>2680.2356</v>
      </c>
      <c r="Y47" s="120">
        <v>0.85</v>
      </c>
      <c r="Z47" s="130">
        <f t="shared" si="75"/>
        <v>2278</v>
      </c>
    </row>
    <row r="48" s="1" customFormat="1" ht="18" customHeight="1" spans="1:26">
      <c r="A48" s="10">
        <v>441225</v>
      </c>
      <c r="B48" s="10" t="s">
        <v>87</v>
      </c>
      <c r="C48" s="10" t="s">
        <v>91</v>
      </c>
      <c r="D48" s="87">
        <f>VLOOKUP(C48,[1]摸底数!B:D,3,0)</f>
        <v>196861</v>
      </c>
      <c r="E48" s="87">
        <v>14286</v>
      </c>
      <c r="F48" s="141">
        <f t="shared" si="62"/>
        <v>123517</v>
      </c>
      <c r="G48" s="141">
        <f t="shared" si="76"/>
        <v>11117</v>
      </c>
      <c r="H48" s="142">
        <f t="shared" si="77"/>
        <v>247.034</v>
      </c>
      <c r="I48" s="116">
        <f t="shared" si="78"/>
        <v>77.82</v>
      </c>
      <c r="J48" s="116">
        <f t="shared" si="79"/>
        <v>4.4468</v>
      </c>
      <c r="K48" s="116">
        <f t="shared" si="80"/>
        <v>329.3008</v>
      </c>
      <c r="L48" s="120">
        <v>0.85</v>
      </c>
      <c r="M48" s="116">
        <f t="shared" si="81"/>
        <v>279.91</v>
      </c>
      <c r="N48" s="145">
        <v>25</v>
      </c>
      <c r="O48" s="116">
        <v>25</v>
      </c>
      <c r="P48" s="10">
        <v>10</v>
      </c>
      <c r="Q48" s="116"/>
      <c r="R48" s="130">
        <f t="shared" si="72"/>
        <v>60</v>
      </c>
      <c r="S48" s="119">
        <f t="shared" si="73"/>
        <v>339.91</v>
      </c>
      <c r="T48" s="145">
        <v>25</v>
      </c>
      <c r="U48" s="116">
        <v>25</v>
      </c>
      <c r="V48" s="10">
        <v>10</v>
      </c>
      <c r="W48" s="116"/>
      <c r="X48" s="130">
        <f t="shared" si="74"/>
        <v>1459.2716</v>
      </c>
      <c r="Y48" s="120">
        <v>0.85</v>
      </c>
      <c r="Z48" s="130">
        <f t="shared" si="75"/>
        <v>1240</v>
      </c>
    </row>
    <row r="49" s="1" customFormat="1" ht="18" customHeight="1" spans="1:26">
      <c r="A49" s="10">
        <v>441226</v>
      </c>
      <c r="B49" s="10" t="s">
        <v>87</v>
      </c>
      <c r="C49" s="10" t="s">
        <v>92</v>
      </c>
      <c r="D49" s="87">
        <f>VLOOKUP(C49,[1]摸底数!B:D,3,0)</f>
        <v>207985</v>
      </c>
      <c r="E49" s="87">
        <v>6944</v>
      </c>
      <c r="F49" s="141">
        <f t="shared" si="62"/>
        <v>138646</v>
      </c>
      <c r="G49" s="141">
        <f t="shared" si="76"/>
        <v>12478</v>
      </c>
      <c r="H49" s="142">
        <f t="shared" si="77"/>
        <v>277.292</v>
      </c>
      <c r="I49" s="116">
        <f t="shared" si="78"/>
        <v>87.35</v>
      </c>
      <c r="J49" s="116">
        <f t="shared" si="79"/>
        <v>4.9912</v>
      </c>
      <c r="K49" s="116">
        <f t="shared" si="80"/>
        <v>369.6332</v>
      </c>
      <c r="L49" s="120">
        <v>0.85</v>
      </c>
      <c r="M49" s="116">
        <f t="shared" si="81"/>
        <v>314.19</v>
      </c>
      <c r="N49" s="145">
        <v>25</v>
      </c>
      <c r="O49" s="116">
        <v>25</v>
      </c>
      <c r="P49" s="10">
        <v>10</v>
      </c>
      <c r="Q49" s="116"/>
      <c r="R49" s="130">
        <f t="shared" si="72"/>
        <v>60</v>
      </c>
      <c r="S49" s="119">
        <f t="shared" si="73"/>
        <v>374.19</v>
      </c>
      <c r="T49" s="145">
        <v>25</v>
      </c>
      <c r="U49" s="116">
        <v>25</v>
      </c>
      <c r="V49" s="10">
        <v>10</v>
      </c>
      <c r="W49" s="116"/>
      <c r="X49" s="130">
        <f t="shared" si="74"/>
        <v>1608.4964</v>
      </c>
      <c r="Y49" s="120">
        <v>0.85</v>
      </c>
      <c r="Z49" s="130">
        <f t="shared" si="75"/>
        <v>1367</v>
      </c>
    </row>
    <row r="50" s="1" customFormat="1" ht="18" customHeight="1" spans="1:26">
      <c r="A50" s="10">
        <v>441284</v>
      </c>
      <c r="B50" s="10" t="s">
        <v>87</v>
      </c>
      <c r="C50" s="10" t="s">
        <v>93</v>
      </c>
      <c r="D50" s="87">
        <f>VLOOKUP(C50,[1]摸底数!B:D,3,0)</f>
        <v>338769</v>
      </c>
      <c r="E50" s="87">
        <v>12766</v>
      </c>
      <c r="F50" s="141">
        <f t="shared" si="62"/>
        <v>224372</v>
      </c>
      <c r="G50" s="141">
        <f t="shared" si="76"/>
        <v>20193</v>
      </c>
      <c r="H50" s="142">
        <f t="shared" si="77"/>
        <v>448.744</v>
      </c>
      <c r="I50" s="116">
        <f t="shared" si="78"/>
        <v>141.35</v>
      </c>
      <c r="J50" s="116">
        <f t="shared" si="79"/>
        <v>8.0772</v>
      </c>
      <c r="K50" s="116">
        <f t="shared" si="80"/>
        <v>598.1712</v>
      </c>
      <c r="L50" s="120">
        <v>0.65</v>
      </c>
      <c r="M50" s="116">
        <f t="shared" si="81"/>
        <v>388.81</v>
      </c>
      <c r="N50" s="145">
        <v>25</v>
      </c>
      <c r="O50" s="116">
        <v>25</v>
      </c>
      <c r="P50" s="10">
        <v>10</v>
      </c>
      <c r="Q50" s="116"/>
      <c r="R50" s="130">
        <f t="shared" si="72"/>
        <v>60</v>
      </c>
      <c r="S50" s="119">
        <f t="shared" si="73"/>
        <v>448.81</v>
      </c>
      <c r="T50" s="145">
        <v>25</v>
      </c>
      <c r="U50" s="116">
        <v>25</v>
      </c>
      <c r="V50" s="10">
        <v>10</v>
      </c>
      <c r="W50" s="116"/>
      <c r="X50" s="130">
        <f t="shared" si="74"/>
        <v>2214.6124</v>
      </c>
      <c r="Y50" s="120">
        <v>0.65</v>
      </c>
      <c r="Z50" s="130">
        <f t="shared" si="75"/>
        <v>1439</v>
      </c>
    </row>
    <row r="51" s="4" customFormat="1" ht="18" customHeight="1" spans="1:26">
      <c r="A51" s="22">
        <v>441300</v>
      </c>
      <c r="B51" s="22" t="s">
        <v>94</v>
      </c>
      <c r="C51" s="23" t="s">
        <v>95</v>
      </c>
      <c r="D51" s="140">
        <f t="shared" ref="D51:K51" si="82">SUM(D52:D55)</f>
        <v>1656785</v>
      </c>
      <c r="E51" s="140">
        <f t="shared" si="82"/>
        <v>45262</v>
      </c>
      <c r="F51" s="140">
        <f t="shared" si="82"/>
        <v>1114488</v>
      </c>
      <c r="G51" s="140">
        <f t="shared" si="82"/>
        <v>100303</v>
      </c>
      <c r="H51" s="107">
        <f t="shared" si="82"/>
        <v>2228.976</v>
      </c>
      <c r="I51" s="107">
        <f t="shared" si="82"/>
        <v>702.12</v>
      </c>
      <c r="J51" s="107">
        <f t="shared" si="82"/>
        <v>40.1212</v>
      </c>
      <c r="K51" s="107">
        <f t="shared" si="82"/>
        <v>2971.2172</v>
      </c>
      <c r="L51" s="107"/>
      <c r="M51" s="107">
        <f t="shared" ref="M51:S51" si="83">SUM(M52:M55)</f>
        <v>2417.97</v>
      </c>
      <c r="N51" s="144">
        <f t="shared" si="83"/>
        <v>100</v>
      </c>
      <c r="O51" s="107">
        <f t="shared" si="83"/>
        <v>75</v>
      </c>
      <c r="P51" s="107">
        <f t="shared" si="83"/>
        <v>30</v>
      </c>
      <c r="Q51" s="107">
        <f t="shared" si="83"/>
        <v>0</v>
      </c>
      <c r="R51" s="107">
        <f t="shared" si="83"/>
        <v>205</v>
      </c>
      <c r="S51" s="107">
        <f t="shared" si="83"/>
        <v>2622.97</v>
      </c>
      <c r="T51" s="144">
        <f t="shared" ref="T51:X51" si="84">SUM(T52:T55)</f>
        <v>100</v>
      </c>
      <c r="U51" s="107">
        <f t="shared" si="84"/>
        <v>75</v>
      </c>
      <c r="V51" s="22"/>
      <c r="W51" s="107"/>
      <c r="X51" s="107">
        <f t="shared" si="84"/>
        <v>11601.5244</v>
      </c>
      <c r="Y51" s="140"/>
      <c r="Z51" s="107">
        <f>SUM(Z52:Z55)</f>
        <v>9602</v>
      </c>
    </row>
    <row r="52" s="4" customFormat="1" ht="18" customHeight="1" spans="1:26">
      <c r="A52" s="22"/>
      <c r="B52" s="22"/>
      <c r="C52" s="10" t="s">
        <v>58</v>
      </c>
      <c r="D52" s="140"/>
      <c r="E52" s="140"/>
      <c r="F52" s="140"/>
      <c r="G52" s="140"/>
      <c r="H52" s="107"/>
      <c r="I52" s="107"/>
      <c r="J52" s="107"/>
      <c r="K52" s="107"/>
      <c r="L52" s="120">
        <v>0.65</v>
      </c>
      <c r="M52" s="107"/>
      <c r="N52" s="145">
        <v>25</v>
      </c>
      <c r="O52" s="107"/>
      <c r="P52" s="22"/>
      <c r="Q52" s="107"/>
      <c r="R52" s="130">
        <f t="shared" ref="R52:R55" si="85">T52+U52+V52+W52</f>
        <v>25</v>
      </c>
      <c r="S52" s="119">
        <f t="shared" ref="S52:S55" si="86">M52+R52</f>
        <v>25</v>
      </c>
      <c r="T52" s="145">
        <v>25</v>
      </c>
      <c r="U52" s="107"/>
      <c r="V52" s="22"/>
      <c r="W52" s="107"/>
      <c r="X52" s="130">
        <f>SUM(H52:W52)</f>
        <v>100.65</v>
      </c>
      <c r="Y52" s="120">
        <v>0.65</v>
      </c>
      <c r="Z52" s="130">
        <f t="shared" ref="Z52:Z55" si="87">ROUND(X52*Y52,0)</f>
        <v>65</v>
      </c>
    </row>
    <row r="53" s="1" customFormat="1" ht="18" customHeight="1" spans="1:26">
      <c r="A53" s="10">
        <v>441322</v>
      </c>
      <c r="B53" s="10" t="s">
        <v>94</v>
      </c>
      <c r="C53" s="10" t="s">
        <v>96</v>
      </c>
      <c r="D53" s="87">
        <f>VLOOKUP(C53,[1]摸底数!B:D,3,0)</f>
        <v>826100</v>
      </c>
      <c r="E53" s="87">
        <v>33822</v>
      </c>
      <c r="F53" s="141">
        <f t="shared" ref="F53:F55" si="88">ROUND(D53*0.7-E53,0)</f>
        <v>544448</v>
      </c>
      <c r="G53" s="141">
        <f t="shared" ref="G53:G55" si="89">ROUND(F53*0.09,0)</f>
        <v>49000</v>
      </c>
      <c r="H53" s="142">
        <f t="shared" ref="H53:H55" si="90">F53*20/10000</f>
        <v>1088.896</v>
      </c>
      <c r="I53" s="116">
        <f t="shared" ref="I53:I55" si="91">ROUND(F53*0.5*0.6*21/10000,2)</f>
        <v>343</v>
      </c>
      <c r="J53" s="116">
        <f t="shared" ref="J53:J55" si="92">G53*0.4*10/10000</f>
        <v>19.6</v>
      </c>
      <c r="K53" s="116">
        <f t="shared" ref="K53:K55" si="93">H53+I53+J53</f>
        <v>1451.496</v>
      </c>
      <c r="L53" s="120">
        <v>0.65</v>
      </c>
      <c r="M53" s="116">
        <f t="shared" ref="M53:M55" si="94">ROUND(K53*L53,2)</f>
        <v>943.47</v>
      </c>
      <c r="N53" s="145">
        <v>25</v>
      </c>
      <c r="O53" s="116">
        <v>25</v>
      </c>
      <c r="P53" s="10">
        <v>10</v>
      </c>
      <c r="Q53" s="116"/>
      <c r="R53" s="130">
        <f t="shared" si="85"/>
        <v>60</v>
      </c>
      <c r="S53" s="119">
        <f t="shared" si="86"/>
        <v>1003.47</v>
      </c>
      <c r="T53" s="145">
        <v>25</v>
      </c>
      <c r="U53" s="116">
        <v>25</v>
      </c>
      <c r="V53" s="10">
        <v>10</v>
      </c>
      <c r="W53" s="116"/>
      <c r="X53" s="130">
        <f>SUM(H53:W53)</f>
        <v>5030.582</v>
      </c>
      <c r="Y53" s="120">
        <v>0.65</v>
      </c>
      <c r="Z53" s="130">
        <f t="shared" si="87"/>
        <v>3270</v>
      </c>
    </row>
    <row r="54" s="1" customFormat="1" ht="18" customHeight="1" spans="1:26">
      <c r="A54" s="10">
        <v>441323</v>
      </c>
      <c r="B54" s="10" t="s">
        <v>94</v>
      </c>
      <c r="C54" s="10" t="s">
        <v>97</v>
      </c>
      <c r="D54" s="87">
        <f>VLOOKUP(C54,[1]摸底数!B:D,3,0)</f>
        <v>667221</v>
      </c>
      <c r="E54" s="87">
        <v>10117</v>
      </c>
      <c r="F54" s="141">
        <f t="shared" si="88"/>
        <v>456938</v>
      </c>
      <c r="G54" s="141">
        <f t="shared" si="89"/>
        <v>41124</v>
      </c>
      <c r="H54" s="142">
        <f t="shared" si="90"/>
        <v>913.876</v>
      </c>
      <c r="I54" s="116">
        <f t="shared" si="91"/>
        <v>287.87</v>
      </c>
      <c r="J54" s="116">
        <f t="shared" si="92"/>
        <v>16.4496</v>
      </c>
      <c r="K54" s="116">
        <f t="shared" si="93"/>
        <v>1218.1956</v>
      </c>
      <c r="L54" s="120">
        <v>1</v>
      </c>
      <c r="M54" s="116">
        <f t="shared" si="94"/>
        <v>1218.2</v>
      </c>
      <c r="N54" s="145">
        <v>25</v>
      </c>
      <c r="O54" s="116">
        <v>25</v>
      </c>
      <c r="P54" s="10">
        <v>10</v>
      </c>
      <c r="Q54" s="116"/>
      <c r="R54" s="130">
        <f t="shared" si="85"/>
        <v>60</v>
      </c>
      <c r="S54" s="119">
        <f t="shared" si="86"/>
        <v>1278.2</v>
      </c>
      <c r="T54" s="145">
        <v>25</v>
      </c>
      <c r="U54" s="116">
        <v>25</v>
      </c>
      <c r="V54" s="10">
        <v>10</v>
      </c>
      <c r="W54" s="116"/>
      <c r="X54" s="130">
        <f>SUM(H54:W54)</f>
        <v>5113.7912</v>
      </c>
      <c r="Y54" s="120">
        <v>1</v>
      </c>
      <c r="Z54" s="130">
        <f t="shared" si="87"/>
        <v>5114</v>
      </c>
    </row>
    <row r="55" s="1" customFormat="1" ht="18" customHeight="1" spans="1:26">
      <c r="A55" s="10">
        <v>441324</v>
      </c>
      <c r="B55" s="10" t="s">
        <v>94</v>
      </c>
      <c r="C55" s="10" t="s">
        <v>98</v>
      </c>
      <c r="D55" s="87">
        <f>VLOOKUP(C55,[1]摸底数!B:D,3,0)</f>
        <v>163464</v>
      </c>
      <c r="E55" s="87">
        <v>1323</v>
      </c>
      <c r="F55" s="141">
        <f t="shared" si="88"/>
        <v>113102</v>
      </c>
      <c r="G55" s="141">
        <f t="shared" si="89"/>
        <v>10179</v>
      </c>
      <c r="H55" s="142">
        <f t="shared" si="90"/>
        <v>226.204</v>
      </c>
      <c r="I55" s="116">
        <f t="shared" si="91"/>
        <v>71.25</v>
      </c>
      <c r="J55" s="116">
        <f t="shared" si="92"/>
        <v>4.0716</v>
      </c>
      <c r="K55" s="116">
        <f t="shared" si="93"/>
        <v>301.5256</v>
      </c>
      <c r="L55" s="120">
        <v>0.85</v>
      </c>
      <c r="M55" s="116">
        <f t="shared" si="94"/>
        <v>256.3</v>
      </c>
      <c r="N55" s="145">
        <v>25</v>
      </c>
      <c r="O55" s="116">
        <v>25</v>
      </c>
      <c r="P55" s="10">
        <v>10</v>
      </c>
      <c r="Q55" s="116"/>
      <c r="R55" s="130">
        <f t="shared" si="85"/>
        <v>60</v>
      </c>
      <c r="S55" s="119">
        <f t="shared" si="86"/>
        <v>316.3</v>
      </c>
      <c r="T55" s="145">
        <v>25</v>
      </c>
      <c r="U55" s="116">
        <v>25</v>
      </c>
      <c r="V55" s="10">
        <v>10</v>
      </c>
      <c r="W55" s="116"/>
      <c r="X55" s="130">
        <f>SUM(H55:W55)</f>
        <v>1356.5012</v>
      </c>
      <c r="Y55" s="120">
        <v>0.85</v>
      </c>
      <c r="Z55" s="130">
        <f t="shared" si="87"/>
        <v>1153</v>
      </c>
    </row>
    <row r="56" s="4" customFormat="1" ht="18" customHeight="1" spans="1:26">
      <c r="A56" s="22">
        <v>441400</v>
      </c>
      <c r="B56" s="22" t="s">
        <v>99</v>
      </c>
      <c r="C56" s="23" t="s">
        <v>100</v>
      </c>
      <c r="D56" s="140">
        <f t="shared" ref="D56:K56" si="95">SUM(D57:D63)</f>
        <v>1807860</v>
      </c>
      <c r="E56" s="140">
        <f t="shared" si="95"/>
        <v>132217</v>
      </c>
      <c r="F56" s="140">
        <f t="shared" si="95"/>
        <v>1133284</v>
      </c>
      <c r="G56" s="140">
        <f t="shared" si="95"/>
        <v>101996</v>
      </c>
      <c r="H56" s="107">
        <f t="shared" si="95"/>
        <v>2266.568</v>
      </c>
      <c r="I56" s="107">
        <f t="shared" si="95"/>
        <v>713.96</v>
      </c>
      <c r="J56" s="107">
        <f t="shared" si="95"/>
        <v>40.7984</v>
      </c>
      <c r="K56" s="107">
        <f t="shared" si="95"/>
        <v>3021.3264</v>
      </c>
      <c r="L56" s="107"/>
      <c r="M56" s="107">
        <f t="shared" ref="M56:S56" si="96">SUM(M57:M63)</f>
        <v>3021.33</v>
      </c>
      <c r="N56" s="144">
        <f t="shared" si="96"/>
        <v>175</v>
      </c>
      <c r="O56" s="107">
        <f t="shared" si="96"/>
        <v>150</v>
      </c>
      <c r="P56" s="107">
        <f t="shared" si="96"/>
        <v>60</v>
      </c>
      <c r="Q56" s="107">
        <f t="shared" si="96"/>
        <v>0</v>
      </c>
      <c r="R56" s="107">
        <f t="shared" si="96"/>
        <v>385</v>
      </c>
      <c r="S56" s="107">
        <f t="shared" si="96"/>
        <v>3406.33</v>
      </c>
      <c r="T56" s="144">
        <f t="shared" ref="T56:X56" si="97">SUM(T57:T63)</f>
        <v>175</v>
      </c>
      <c r="U56" s="107">
        <f t="shared" si="97"/>
        <v>150</v>
      </c>
      <c r="V56" s="22"/>
      <c r="W56" s="107"/>
      <c r="X56" s="107">
        <f t="shared" si="97"/>
        <v>13632.1628</v>
      </c>
      <c r="Y56" s="140"/>
      <c r="Z56" s="107">
        <f>SUM(Z57:Z63)</f>
        <v>13617</v>
      </c>
    </row>
    <row r="57" s="4" customFormat="1" ht="18" customHeight="1" spans="1:26">
      <c r="A57" s="22"/>
      <c r="B57" s="22"/>
      <c r="C57" s="10" t="s">
        <v>58</v>
      </c>
      <c r="D57" s="140"/>
      <c r="E57" s="140"/>
      <c r="F57" s="140"/>
      <c r="G57" s="140"/>
      <c r="H57" s="107"/>
      <c r="I57" s="107"/>
      <c r="J57" s="107"/>
      <c r="K57" s="107"/>
      <c r="L57" s="120">
        <v>0.85</v>
      </c>
      <c r="M57" s="107"/>
      <c r="N57" s="145">
        <v>25</v>
      </c>
      <c r="O57" s="107"/>
      <c r="P57" s="22"/>
      <c r="Q57" s="107"/>
      <c r="R57" s="130">
        <f t="shared" ref="R57:R63" si="98">T57+U57+V57+W57</f>
        <v>25</v>
      </c>
      <c r="S57" s="119">
        <f t="shared" ref="S57:S63" si="99">M57+R57</f>
        <v>25</v>
      </c>
      <c r="T57" s="145">
        <v>25</v>
      </c>
      <c r="U57" s="107"/>
      <c r="V57" s="22"/>
      <c r="W57" s="107"/>
      <c r="X57" s="130">
        <f t="shared" ref="X57:X63" si="100">SUM(H57:W57)</f>
        <v>100.85</v>
      </c>
      <c r="Y57" s="120">
        <v>0.85</v>
      </c>
      <c r="Z57" s="130">
        <f t="shared" ref="Z57:Z63" si="101">ROUND(X57*Y57,0)</f>
        <v>86</v>
      </c>
    </row>
    <row r="58" s="1" customFormat="1" ht="18" customHeight="1" spans="1:26">
      <c r="A58" s="10">
        <v>441422</v>
      </c>
      <c r="B58" s="10" t="s">
        <v>99</v>
      </c>
      <c r="C58" s="10" t="s">
        <v>101</v>
      </c>
      <c r="D58" s="87">
        <f>VLOOKUP(C58,[1]摸底数!B:D,3,0)</f>
        <v>196859</v>
      </c>
      <c r="E58" s="87">
        <v>83282</v>
      </c>
      <c r="F58" s="141">
        <f t="shared" ref="F58:F63" si="102">ROUND(D58*0.7-E58,0)</f>
        <v>54519</v>
      </c>
      <c r="G58" s="141">
        <f t="shared" ref="G58:G63" si="103">ROUND(F58*0.09,0)</f>
        <v>4907</v>
      </c>
      <c r="H58" s="142">
        <f t="shared" ref="H58:H63" si="104">F58*20/10000</f>
        <v>109.038</v>
      </c>
      <c r="I58" s="116">
        <f t="shared" ref="I58:I63" si="105">ROUND(F58*0.5*0.6*21/10000,2)</f>
        <v>34.35</v>
      </c>
      <c r="J58" s="116">
        <f t="shared" ref="J58:J63" si="106">G58*0.4*10/10000</f>
        <v>1.9628</v>
      </c>
      <c r="K58" s="116">
        <f t="shared" ref="K58:K63" si="107">H58+I58+J58</f>
        <v>145.3508</v>
      </c>
      <c r="L58" s="120">
        <v>1</v>
      </c>
      <c r="M58" s="116">
        <f t="shared" ref="M58:M63" si="108">ROUND(K58*L58,2)</f>
        <v>145.35</v>
      </c>
      <c r="N58" s="145">
        <v>25</v>
      </c>
      <c r="O58" s="116">
        <v>25</v>
      </c>
      <c r="P58" s="10">
        <v>10</v>
      </c>
      <c r="Q58" s="116"/>
      <c r="R58" s="130">
        <f t="shared" si="98"/>
        <v>60</v>
      </c>
      <c r="S58" s="119">
        <f t="shared" si="99"/>
        <v>205.35</v>
      </c>
      <c r="T58" s="145">
        <v>25</v>
      </c>
      <c r="U58" s="116">
        <v>25</v>
      </c>
      <c r="V58" s="10">
        <v>10</v>
      </c>
      <c r="W58" s="116"/>
      <c r="X58" s="130">
        <f t="shared" si="100"/>
        <v>822.4016</v>
      </c>
      <c r="Y58" s="120">
        <v>1</v>
      </c>
      <c r="Z58" s="130">
        <f t="shared" si="101"/>
        <v>822</v>
      </c>
    </row>
    <row r="59" s="1" customFormat="1" ht="18" customHeight="1" spans="1:26">
      <c r="A59" s="10">
        <v>441423</v>
      </c>
      <c r="B59" s="10" t="s">
        <v>99</v>
      </c>
      <c r="C59" s="10" t="s">
        <v>102</v>
      </c>
      <c r="D59" s="87">
        <f>VLOOKUP(C59,[1]摸底数!B:D,3,0)</f>
        <v>295089</v>
      </c>
      <c r="E59" s="87">
        <v>9868</v>
      </c>
      <c r="F59" s="141">
        <f t="shared" si="102"/>
        <v>196694</v>
      </c>
      <c r="G59" s="141">
        <f t="shared" si="103"/>
        <v>17702</v>
      </c>
      <c r="H59" s="142">
        <f t="shared" si="104"/>
        <v>393.388</v>
      </c>
      <c r="I59" s="116">
        <f t="shared" si="105"/>
        <v>123.92</v>
      </c>
      <c r="J59" s="116">
        <f t="shared" si="106"/>
        <v>7.0808</v>
      </c>
      <c r="K59" s="116">
        <f t="shared" si="107"/>
        <v>524.3888</v>
      </c>
      <c r="L59" s="120">
        <v>1</v>
      </c>
      <c r="M59" s="116">
        <f t="shared" si="108"/>
        <v>524.39</v>
      </c>
      <c r="N59" s="145">
        <v>25</v>
      </c>
      <c r="O59" s="116">
        <v>25</v>
      </c>
      <c r="P59" s="10">
        <v>10</v>
      </c>
      <c r="Q59" s="116"/>
      <c r="R59" s="130">
        <f t="shared" si="98"/>
        <v>60</v>
      </c>
      <c r="S59" s="119">
        <f t="shared" si="99"/>
        <v>584.39</v>
      </c>
      <c r="T59" s="145">
        <v>25</v>
      </c>
      <c r="U59" s="116">
        <v>25</v>
      </c>
      <c r="V59" s="10">
        <v>10</v>
      </c>
      <c r="W59" s="116"/>
      <c r="X59" s="130">
        <f t="shared" si="100"/>
        <v>2338.5576</v>
      </c>
      <c r="Y59" s="120">
        <v>1</v>
      </c>
      <c r="Z59" s="130">
        <f t="shared" si="101"/>
        <v>2339</v>
      </c>
    </row>
    <row r="60" s="1" customFormat="1" ht="18" customHeight="1" spans="1:26">
      <c r="A60" s="10">
        <v>441424</v>
      </c>
      <c r="B60" s="10" t="s">
        <v>99</v>
      </c>
      <c r="C60" s="10" t="s">
        <v>103</v>
      </c>
      <c r="D60" s="87">
        <f>VLOOKUP(C60,[1]摸底数!B:D,3,0)</f>
        <v>621220</v>
      </c>
      <c r="E60" s="87">
        <v>4403</v>
      </c>
      <c r="F60" s="141">
        <f t="shared" si="102"/>
        <v>430451</v>
      </c>
      <c r="G60" s="141">
        <f t="shared" si="103"/>
        <v>38741</v>
      </c>
      <c r="H60" s="142">
        <f t="shared" si="104"/>
        <v>860.902</v>
      </c>
      <c r="I60" s="116">
        <f t="shared" si="105"/>
        <v>271.18</v>
      </c>
      <c r="J60" s="116">
        <f t="shared" si="106"/>
        <v>15.4964</v>
      </c>
      <c r="K60" s="116">
        <f t="shared" si="107"/>
        <v>1147.5784</v>
      </c>
      <c r="L60" s="120">
        <v>1</v>
      </c>
      <c r="M60" s="116">
        <f t="shared" si="108"/>
        <v>1147.58</v>
      </c>
      <c r="N60" s="145">
        <v>25</v>
      </c>
      <c r="O60" s="116">
        <v>25</v>
      </c>
      <c r="P60" s="10">
        <v>10</v>
      </c>
      <c r="Q60" s="116"/>
      <c r="R60" s="130">
        <f t="shared" si="98"/>
        <v>60</v>
      </c>
      <c r="S60" s="119">
        <f t="shared" si="99"/>
        <v>1207.58</v>
      </c>
      <c r="T60" s="145">
        <v>25</v>
      </c>
      <c r="U60" s="116">
        <v>25</v>
      </c>
      <c r="V60" s="10">
        <v>10</v>
      </c>
      <c r="W60" s="116"/>
      <c r="X60" s="130">
        <f t="shared" si="100"/>
        <v>4831.3168</v>
      </c>
      <c r="Y60" s="120">
        <v>1</v>
      </c>
      <c r="Z60" s="130">
        <f t="shared" si="101"/>
        <v>4831</v>
      </c>
    </row>
    <row r="61" s="1" customFormat="1" ht="18" customHeight="1" spans="1:26">
      <c r="A61" s="10">
        <v>441426</v>
      </c>
      <c r="B61" s="10" t="s">
        <v>99</v>
      </c>
      <c r="C61" s="10" t="s">
        <v>104</v>
      </c>
      <c r="D61" s="87">
        <f>VLOOKUP(C61,[1]摸底数!B:D,3,0)</f>
        <v>95316</v>
      </c>
      <c r="E61" s="87">
        <v>4651</v>
      </c>
      <c r="F61" s="141">
        <f t="shared" si="102"/>
        <v>62070</v>
      </c>
      <c r="G61" s="141">
        <f t="shared" si="103"/>
        <v>5586</v>
      </c>
      <c r="H61" s="142">
        <f t="shared" si="104"/>
        <v>124.14</v>
      </c>
      <c r="I61" s="116">
        <f t="shared" si="105"/>
        <v>39.1</v>
      </c>
      <c r="J61" s="116">
        <f t="shared" si="106"/>
        <v>2.2344</v>
      </c>
      <c r="K61" s="116">
        <f t="shared" si="107"/>
        <v>165.4744</v>
      </c>
      <c r="L61" s="120">
        <v>1</v>
      </c>
      <c r="M61" s="116">
        <f t="shared" si="108"/>
        <v>165.47</v>
      </c>
      <c r="N61" s="145">
        <v>25</v>
      </c>
      <c r="O61" s="116">
        <v>25</v>
      </c>
      <c r="P61" s="10">
        <v>10</v>
      </c>
      <c r="Q61" s="116"/>
      <c r="R61" s="130">
        <f t="shared" si="98"/>
        <v>60</v>
      </c>
      <c r="S61" s="119">
        <f t="shared" si="99"/>
        <v>225.47</v>
      </c>
      <c r="T61" s="145">
        <v>25</v>
      </c>
      <c r="U61" s="116">
        <v>25</v>
      </c>
      <c r="V61" s="10">
        <v>10</v>
      </c>
      <c r="W61" s="116"/>
      <c r="X61" s="130">
        <f t="shared" si="100"/>
        <v>902.8888</v>
      </c>
      <c r="Y61" s="120">
        <v>1</v>
      </c>
      <c r="Z61" s="130">
        <f t="shared" si="101"/>
        <v>903</v>
      </c>
    </row>
    <row r="62" s="1" customFormat="1" ht="18" customHeight="1" spans="1:26">
      <c r="A62" s="10">
        <v>441427</v>
      </c>
      <c r="B62" s="10" t="s">
        <v>99</v>
      </c>
      <c r="C62" s="10" t="s">
        <v>105</v>
      </c>
      <c r="D62" s="87">
        <f>VLOOKUP(C62,[1]摸底数!B:D,3,0)</f>
        <v>114227</v>
      </c>
      <c r="E62" s="87">
        <v>6528</v>
      </c>
      <c r="F62" s="141">
        <f t="shared" si="102"/>
        <v>73431</v>
      </c>
      <c r="G62" s="141">
        <f t="shared" si="103"/>
        <v>6609</v>
      </c>
      <c r="H62" s="142">
        <f t="shared" si="104"/>
        <v>146.862</v>
      </c>
      <c r="I62" s="116">
        <f t="shared" si="105"/>
        <v>46.26</v>
      </c>
      <c r="J62" s="116">
        <f t="shared" si="106"/>
        <v>2.6436</v>
      </c>
      <c r="K62" s="116">
        <f t="shared" si="107"/>
        <v>195.7656</v>
      </c>
      <c r="L62" s="120">
        <v>1</v>
      </c>
      <c r="M62" s="116">
        <f t="shared" si="108"/>
        <v>195.77</v>
      </c>
      <c r="N62" s="145">
        <v>25</v>
      </c>
      <c r="O62" s="116">
        <v>25</v>
      </c>
      <c r="P62" s="10">
        <v>10</v>
      </c>
      <c r="Q62" s="116"/>
      <c r="R62" s="130">
        <f t="shared" si="98"/>
        <v>60</v>
      </c>
      <c r="S62" s="119">
        <f t="shared" si="99"/>
        <v>255.77</v>
      </c>
      <c r="T62" s="145">
        <v>25</v>
      </c>
      <c r="U62" s="116">
        <v>25</v>
      </c>
      <c r="V62" s="10">
        <v>10</v>
      </c>
      <c r="W62" s="116"/>
      <c r="X62" s="130">
        <f t="shared" si="100"/>
        <v>1024.0712</v>
      </c>
      <c r="Y62" s="120">
        <v>1</v>
      </c>
      <c r="Z62" s="130">
        <f t="shared" si="101"/>
        <v>1024</v>
      </c>
    </row>
    <row r="63" s="1" customFormat="1" ht="18" customHeight="1" spans="1:26">
      <c r="A63" s="10">
        <v>441481</v>
      </c>
      <c r="B63" s="10" t="s">
        <v>99</v>
      </c>
      <c r="C63" s="10" t="s">
        <v>106</v>
      </c>
      <c r="D63" s="87">
        <f>VLOOKUP(C63,[1]摸底数!B:D,3,0)</f>
        <v>485149</v>
      </c>
      <c r="E63" s="87">
        <v>23485</v>
      </c>
      <c r="F63" s="141">
        <f t="shared" si="102"/>
        <v>316119</v>
      </c>
      <c r="G63" s="141">
        <f t="shared" si="103"/>
        <v>28451</v>
      </c>
      <c r="H63" s="142">
        <f t="shared" si="104"/>
        <v>632.238</v>
      </c>
      <c r="I63" s="116">
        <f t="shared" si="105"/>
        <v>199.15</v>
      </c>
      <c r="J63" s="116">
        <f t="shared" si="106"/>
        <v>11.3804</v>
      </c>
      <c r="K63" s="116">
        <f t="shared" si="107"/>
        <v>842.7684</v>
      </c>
      <c r="L63" s="120">
        <v>1</v>
      </c>
      <c r="M63" s="116">
        <f t="shared" si="108"/>
        <v>842.77</v>
      </c>
      <c r="N63" s="145">
        <v>25</v>
      </c>
      <c r="O63" s="116">
        <v>25</v>
      </c>
      <c r="P63" s="10">
        <v>10</v>
      </c>
      <c r="Q63" s="116"/>
      <c r="R63" s="130">
        <f t="shared" si="98"/>
        <v>60</v>
      </c>
      <c r="S63" s="119">
        <f t="shared" si="99"/>
        <v>902.77</v>
      </c>
      <c r="T63" s="145">
        <v>25</v>
      </c>
      <c r="U63" s="116">
        <v>25</v>
      </c>
      <c r="V63" s="10">
        <v>10</v>
      </c>
      <c r="W63" s="116"/>
      <c r="X63" s="130">
        <f t="shared" si="100"/>
        <v>3612.0768</v>
      </c>
      <c r="Y63" s="120">
        <v>1</v>
      </c>
      <c r="Z63" s="130">
        <f t="shared" si="101"/>
        <v>3612</v>
      </c>
    </row>
    <row r="64" s="4" customFormat="1" ht="18" customHeight="1" spans="1:26">
      <c r="A64" s="22">
        <v>441500</v>
      </c>
      <c r="B64" s="22" t="s">
        <v>107</v>
      </c>
      <c r="C64" s="23" t="s">
        <v>108</v>
      </c>
      <c r="D64" s="140">
        <f t="shared" ref="D64:K64" si="109">SUM(D65:D68)</f>
        <v>1301477</v>
      </c>
      <c r="E64" s="140">
        <f t="shared" si="109"/>
        <v>14324</v>
      </c>
      <c r="F64" s="140">
        <f t="shared" si="109"/>
        <v>896710</v>
      </c>
      <c r="G64" s="140">
        <f t="shared" si="109"/>
        <v>80704</v>
      </c>
      <c r="H64" s="107">
        <f t="shared" si="109"/>
        <v>1793.42</v>
      </c>
      <c r="I64" s="107">
        <f t="shared" si="109"/>
        <v>564.92</v>
      </c>
      <c r="J64" s="107">
        <f t="shared" si="109"/>
        <v>32.2816</v>
      </c>
      <c r="K64" s="107">
        <f t="shared" si="109"/>
        <v>2390.6216</v>
      </c>
      <c r="L64" s="107"/>
      <c r="M64" s="107">
        <f t="shared" ref="M64:S64" si="110">SUM(M65:M68)</f>
        <v>2390.62</v>
      </c>
      <c r="N64" s="144">
        <f t="shared" si="110"/>
        <v>100</v>
      </c>
      <c r="O64" s="107">
        <f t="shared" si="110"/>
        <v>75</v>
      </c>
      <c r="P64" s="107">
        <f t="shared" si="110"/>
        <v>30</v>
      </c>
      <c r="Q64" s="107">
        <f t="shared" si="110"/>
        <v>0</v>
      </c>
      <c r="R64" s="107">
        <f t="shared" si="110"/>
        <v>205</v>
      </c>
      <c r="S64" s="107">
        <f t="shared" si="110"/>
        <v>2595.62</v>
      </c>
      <c r="T64" s="144">
        <f t="shared" ref="T64:X64" si="111">SUM(T65:T68)</f>
        <v>100</v>
      </c>
      <c r="U64" s="107">
        <f t="shared" si="111"/>
        <v>75</v>
      </c>
      <c r="V64" s="22"/>
      <c r="W64" s="107"/>
      <c r="X64" s="107">
        <f t="shared" si="111"/>
        <v>10386.3332</v>
      </c>
      <c r="Y64" s="140"/>
      <c r="Z64" s="107">
        <f>SUM(Z65:Z68)</f>
        <v>10372</v>
      </c>
    </row>
    <row r="65" s="4" customFormat="1" ht="18" customHeight="1" spans="1:26">
      <c r="A65" s="22"/>
      <c r="B65" s="22"/>
      <c r="C65" s="10" t="s">
        <v>58</v>
      </c>
      <c r="D65" s="140"/>
      <c r="E65" s="140"/>
      <c r="F65" s="140"/>
      <c r="G65" s="140"/>
      <c r="H65" s="107"/>
      <c r="I65" s="107"/>
      <c r="J65" s="107"/>
      <c r="K65" s="107"/>
      <c r="L65" s="120">
        <v>0.85</v>
      </c>
      <c r="M65" s="107"/>
      <c r="N65" s="145">
        <v>25</v>
      </c>
      <c r="O65" s="107"/>
      <c r="P65" s="22"/>
      <c r="Q65" s="107"/>
      <c r="R65" s="130">
        <f t="shared" ref="R65:R68" si="112">T65+U65+V65+W65</f>
        <v>25</v>
      </c>
      <c r="S65" s="119">
        <f t="shared" ref="S65:S68" si="113">M65+R65</f>
        <v>25</v>
      </c>
      <c r="T65" s="145">
        <v>25</v>
      </c>
      <c r="U65" s="107"/>
      <c r="V65" s="22"/>
      <c r="W65" s="107"/>
      <c r="X65" s="130">
        <f>SUM(H65:W65)</f>
        <v>100.85</v>
      </c>
      <c r="Y65" s="120">
        <v>0.85</v>
      </c>
      <c r="Z65" s="130">
        <f t="shared" ref="Z65:Z68" si="114">ROUND(X65*Y65,0)</f>
        <v>86</v>
      </c>
    </row>
    <row r="66" s="1" customFormat="1" ht="18" customHeight="1" spans="1:26">
      <c r="A66" s="10">
        <v>441521</v>
      </c>
      <c r="B66" s="10" t="s">
        <v>107</v>
      </c>
      <c r="C66" s="10" t="s">
        <v>109</v>
      </c>
      <c r="D66" s="87">
        <f>VLOOKUP(C66,[1]摸底数!B:D,3,0)</f>
        <v>478182</v>
      </c>
      <c r="E66" s="87">
        <v>8214</v>
      </c>
      <c r="F66" s="141">
        <f t="shared" ref="F66:F68" si="115">ROUND(D66*0.7-E66,0)</f>
        <v>326513</v>
      </c>
      <c r="G66" s="141">
        <f t="shared" ref="G66:G68" si="116">ROUND(F66*0.09,0)</f>
        <v>29386</v>
      </c>
      <c r="H66" s="142">
        <f t="shared" ref="H66:H68" si="117">F66*20/10000</f>
        <v>653.026</v>
      </c>
      <c r="I66" s="116">
        <f t="shared" ref="I66:I68" si="118">ROUND(F66*0.5*0.6*21/10000,2)</f>
        <v>205.7</v>
      </c>
      <c r="J66" s="116">
        <f t="shared" ref="J66:J68" si="119">G66*0.4*10/10000</f>
        <v>11.7544</v>
      </c>
      <c r="K66" s="116">
        <f t="shared" ref="K66:K68" si="120">H66+I66+J66</f>
        <v>870.4804</v>
      </c>
      <c r="L66" s="120">
        <v>1</v>
      </c>
      <c r="M66" s="116">
        <f t="shared" ref="M66:M68" si="121">ROUND(K66*L66,2)</f>
        <v>870.48</v>
      </c>
      <c r="N66" s="145">
        <v>25</v>
      </c>
      <c r="O66" s="116">
        <v>25</v>
      </c>
      <c r="P66" s="10">
        <v>10</v>
      </c>
      <c r="Q66" s="116"/>
      <c r="R66" s="130">
        <f t="shared" si="112"/>
        <v>60</v>
      </c>
      <c r="S66" s="119">
        <f t="shared" si="113"/>
        <v>930.48</v>
      </c>
      <c r="T66" s="145">
        <v>25</v>
      </c>
      <c r="U66" s="116">
        <v>25</v>
      </c>
      <c r="V66" s="10">
        <v>10</v>
      </c>
      <c r="W66" s="116"/>
      <c r="X66" s="130">
        <f>SUM(H66:W66)</f>
        <v>3722.9208</v>
      </c>
      <c r="Y66" s="120">
        <v>1</v>
      </c>
      <c r="Z66" s="130">
        <f t="shared" si="114"/>
        <v>3723</v>
      </c>
    </row>
    <row r="67" s="1" customFormat="1" ht="18" customHeight="1" spans="1:26">
      <c r="A67" s="10">
        <v>441523</v>
      </c>
      <c r="B67" s="10" t="s">
        <v>107</v>
      </c>
      <c r="C67" s="10" t="s">
        <v>110</v>
      </c>
      <c r="D67" s="87">
        <f>VLOOKUP(C67,[1]摸底数!B:D,3,0)</f>
        <v>100597</v>
      </c>
      <c r="E67" s="87">
        <v>368</v>
      </c>
      <c r="F67" s="141">
        <f t="shared" si="115"/>
        <v>70050</v>
      </c>
      <c r="G67" s="141">
        <f t="shared" si="116"/>
        <v>6305</v>
      </c>
      <c r="H67" s="142">
        <f t="shared" si="117"/>
        <v>140.1</v>
      </c>
      <c r="I67" s="116">
        <f t="shared" si="118"/>
        <v>44.13</v>
      </c>
      <c r="J67" s="116">
        <f t="shared" si="119"/>
        <v>2.522</v>
      </c>
      <c r="K67" s="116">
        <f t="shared" si="120"/>
        <v>186.752</v>
      </c>
      <c r="L67" s="120">
        <v>1</v>
      </c>
      <c r="M67" s="116">
        <f t="shared" si="121"/>
        <v>186.75</v>
      </c>
      <c r="N67" s="145">
        <v>25</v>
      </c>
      <c r="O67" s="116">
        <v>25</v>
      </c>
      <c r="P67" s="10">
        <v>10</v>
      </c>
      <c r="Q67" s="116"/>
      <c r="R67" s="130">
        <f t="shared" si="112"/>
        <v>60</v>
      </c>
      <c r="S67" s="119">
        <f t="shared" si="113"/>
        <v>246.75</v>
      </c>
      <c r="T67" s="145">
        <v>25</v>
      </c>
      <c r="U67" s="116">
        <v>25</v>
      </c>
      <c r="V67" s="10">
        <v>10</v>
      </c>
      <c r="W67" s="116"/>
      <c r="X67" s="130">
        <f>SUM(H67:W67)</f>
        <v>988.004</v>
      </c>
      <c r="Y67" s="120">
        <v>1</v>
      </c>
      <c r="Z67" s="130">
        <f t="shared" si="114"/>
        <v>988</v>
      </c>
    </row>
    <row r="68" s="1" customFormat="1" ht="18" customHeight="1" spans="1:26">
      <c r="A68" s="10">
        <v>441581</v>
      </c>
      <c r="B68" s="10" t="s">
        <v>107</v>
      </c>
      <c r="C68" s="10" t="s">
        <v>111</v>
      </c>
      <c r="D68" s="87">
        <f>VLOOKUP(C68,[1]摸底数!B:D,3,0)</f>
        <v>722698</v>
      </c>
      <c r="E68" s="87">
        <v>5742</v>
      </c>
      <c r="F68" s="141">
        <f t="shared" si="115"/>
        <v>500147</v>
      </c>
      <c r="G68" s="141">
        <f t="shared" si="116"/>
        <v>45013</v>
      </c>
      <c r="H68" s="142">
        <f t="shared" si="117"/>
        <v>1000.294</v>
      </c>
      <c r="I68" s="116">
        <f t="shared" si="118"/>
        <v>315.09</v>
      </c>
      <c r="J68" s="116">
        <f t="shared" si="119"/>
        <v>18.0052</v>
      </c>
      <c r="K68" s="116">
        <f t="shared" si="120"/>
        <v>1333.3892</v>
      </c>
      <c r="L68" s="120">
        <v>1</v>
      </c>
      <c r="M68" s="116">
        <f t="shared" si="121"/>
        <v>1333.39</v>
      </c>
      <c r="N68" s="145">
        <v>25</v>
      </c>
      <c r="O68" s="116">
        <v>25</v>
      </c>
      <c r="P68" s="10">
        <v>10</v>
      </c>
      <c r="Q68" s="116"/>
      <c r="R68" s="130">
        <f t="shared" si="112"/>
        <v>60</v>
      </c>
      <c r="S68" s="119">
        <f t="shared" si="113"/>
        <v>1393.39</v>
      </c>
      <c r="T68" s="145">
        <v>25</v>
      </c>
      <c r="U68" s="116">
        <v>25</v>
      </c>
      <c r="V68" s="10">
        <v>10</v>
      </c>
      <c r="W68" s="116"/>
      <c r="X68" s="130">
        <f>SUM(H68:W68)</f>
        <v>5574.5584</v>
      </c>
      <c r="Y68" s="120">
        <v>1</v>
      </c>
      <c r="Z68" s="130">
        <f t="shared" si="114"/>
        <v>5575</v>
      </c>
    </row>
    <row r="69" s="4" customFormat="1" ht="18" customHeight="1" spans="1:26">
      <c r="A69" s="22">
        <v>441600</v>
      </c>
      <c r="B69" s="22" t="s">
        <v>112</v>
      </c>
      <c r="C69" s="23" t="s">
        <v>113</v>
      </c>
      <c r="D69" s="140">
        <f t="shared" ref="D69:K69" si="122">SUM(D70:D75)</f>
        <v>1266965</v>
      </c>
      <c r="E69" s="140">
        <f t="shared" si="122"/>
        <v>54887</v>
      </c>
      <c r="F69" s="140">
        <f t="shared" si="122"/>
        <v>831987</v>
      </c>
      <c r="G69" s="140">
        <f t="shared" si="122"/>
        <v>74879</v>
      </c>
      <c r="H69" s="107">
        <f t="shared" si="122"/>
        <v>1663.974</v>
      </c>
      <c r="I69" s="107">
        <f t="shared" si="122"/>
        <v>524.16</v>
      </c>
      <c r="J69" s="107">
        <f t="shared" si="122"/>
        <v>29.9516</v>
      </c>
      <c r="K69" s="107">
        <f t="shared" si="122"/>
        <v>2218.0856</v>
      </c>
      <c r="L69" s="107"/>
      <c r="M69" s="107">
        <f t="shared" ref="M69:S69" si="123">SUM(M70:M75)</f>
        <v>2160.56</v>
      </c>
      <c r="N69" s="144">
        <f t="shared" si="123"/>
        <v>150</v>
      </c>
      <c r="O69" s="107">
        <f t="shared" si="123"/>
        <v>125</v>
      </c>
      <c r="P69" s="107">
        <f t="shared" si="123"/>
        <v>50</v>
      </c>
      <c r="Q69" s="107">
        <f t="shared" si="123"/>
        <v>0</v>
      </c>
      <c r="R69" s="107">
        <f t="shared" si="123"/>
        <v>325</v>
      </c>
      <c r="S69" s="107">
        <f t="shared" si="123"/>
        <v>2485.56</v>
      </c>
      <c r="T69" s="144">
        <f t="shared" ref="T69:X69" si="124">SUM(T70:T75)</f>
        <v>150</v>
      </c>
      <c r="U69" s="107">
        <f t="shared" si="124"/>
        <v>125</v>
      </c>
      <c r="V69" s="22"/>
      <c r="W69" s="107"/>
      <c r="X69" s="107">
        <f t="shared" si="124"/>
        <v>10062.9912</v>
      </c>
      <c r="Y69" s="140"/>
      <c r="Z69" s="107">
        <f>SUM(Z70:Z75)</f>
        <v>9799</v>
      </c>
    </row>
    <row r="70" s="4" customFormat="1" ht="18" customHeight="1" spans="1:26">
      <c r="A70" s="22"/>
      <c r="B70" s="22"/>
      <c r="C70" s="10" t="s">
        <v>58</v>
      </c>
      <c r="D70" s="140"/>
      <c r="E70" s="140"/>
      <c r="F70" s="140"/>
      <c r="G70" s="140"/>
      <c r="H70" s="107"/>
      <c r="I70" s="107"/>
      <c r="J70" s="107"/>
      <c r="K70" s="107"/>
      <c r="L70" s="120">
        <v>0.85</v>
      </c>
      <c r="M70" s="107"/>
      <c r="N70" s="145">
        <v>25</v>
      </c>
      <c r="O70" s="107"/>
      <c r="P70" s="22"/>
      <c r="Q70" s="107"/>
      <c r="R70" s="130">
        <f t="shared" ref="R70:R75" si="125">T70+U70+V70+W70</f>
        <v>25</v>
      </c>
      <c r="S70" s="119">
        <f t="shared" ref="S70:S75" si="126">M70+R70</f>
        <v>25</v>
      </c>
      <c r="T70" s="145">
        <v>25</v>
      </c>
      <c r="U70" s="107"/>
      <c r="V70" s="22"/>
      <c r="W70" s="107"/>
      <c r="X70" s="130">
        <f t="shared" ref="X70:X75" si="127">SUM(H70:W70)</f>
        <v>100.85</v>
      </c>
      <c r="Y70" s="120">
        <v>0.85</v>
      </c>
      <c r="Z70" s="130">
        <f t="shared" ref="Z70:Z75" si="128">ROUND(X70*Y70,0)</f>
        <v>86</v>
      </c>
    </row>
    <row r="71" s="1" customFormat="1" ht="18" customHeight="1" spans="1:26">
      <c r="A71" s="10">
        <v>441621</v>
      </c>
      <c r="B71" s="10" t="s">
        <v>112</v>
      </c>
      <c r="C71" s="10" t="s">
        <v>114</v>
      </c>
      <c r="D71" s="87">
        <f>VLOOKUP(C71,[1]摸底数!B:D,3,0)</f>
        <v>318346</v>
      </c>
      <c r="E71" s="87">
        <v>17222</v>
      </c>
      <c r="F71" s="141">
        <f t="shared" ref="F71:F75" si="129">ROUND(D71*0.7-E71,0)</f>
        <v>205620</v>
      </c>
      <c r="G71" s="141">
        <f t="shared" ref="G71:G75" si="130">ROUND(F71*0.09,0)</f>
        <v>18506</v>
      </c>
      <c r="H71" s="142">
        <f t="shared" ref="H71:H75" si="131">F71*20/10000</f>
        <v>411.24</v>
      </c>
      <c r="I71" s="116">
        <f t="shared" ref="I71:I75" si="132">ROUND(F71*0.5*0.6*21/10000,2)</f>
        <v>129.54</v>
      </c>
      <c r="J71" s="116">
        <f t="shared" ref="J71:J75" si="133">G71*0.4*10/10000</f>
        <v>7.4024</v>
      </c>
      <c r="K71" s="116">
        <f t="shared" ref="K71:K75" si="134">H71+I71+J71</f>
        <v>548.1824</v>
      </c>
      <c r="L71" s="120">
        <v>1</v>
      </c>
      <c r="M71" s="116">
        <f t="shared" ref="M71:M75" si="135">ROUND(K71*L71,2)</f>
        <v>548.18</v>
      </c>
      <c r="N71" s="145">
        <v>25</v>
      </c>
      <c r="O71" s="116">
        <v>25</v>
      </c>
      <c r="P71" s="10">
        <v>10</v>
      </c>
      <c r="Q71" s="116"/>
      <c r="R71" s="130">
        <f t="shared" si="125"/>
        <v>60</v>
      </c>
      <c r="S71" s="119">
        <f t="shared" si="126"/>
        <v>608.18</v>
      </c>
      <c r="T71" s="145">
        <v>25</v>
      </c>
      <c r="U71" s="116">
        <v>25</v>
      </c>
      <c r="V71" s="10">
        <v>10</v>
      </c>
      <c r="W71" s="116"/>
      <c r="X71" s="130">
        <f t="shared" si="127"/>
        <v>2433.7248</v>
      </c>
      <c r="Y71" s="120">
        <v>1</v>
      </c>
      <c r="Z71" s="130">
        <f t="shared" si="128"/>
        <v>2434</v>
      </c>
    </row>
    <row r="72" s="1" customFormat="1" ht="18" customHeight="1" spans="1:26">
      <c r="A72" s="10">
        <v>441622</v>
      </c>
      <c r="B72" s="10" t="s">
        <v>112</v>
      </c>
      <c r="C72" s="10" t="s">
        <v>115</v>
      </c>
      <c r="D72" s="87">
        <f>VLOOKUP(C72,[1]摸底数!B:D,3,0)</f>
        <v>349329</v>
      </c>
      <c r="E72" s="87">
        <v>22814</v>
      </c>
      <c r="F72" s="141">
        <f t="shared" si="129"/>
        <v>221716</v>
      </c>
      <c r="G72" s="141">
        <f t="shared" si="130"/>
        <v>19954</v>
      </c>
      <c r="H72" s="142">
        <f t="shared" si="131"/>
        <v>443.432</v>
      </c>
      <c r="I72" s="116">
        <f t="shared" si="132"/>
        <v>139.68</v>
      </c>
      <c r="J72" s="116">
        <f t="shared" si="133"/>
        <v>7.9816</v>
      </c>
      <c r="K72" s="116">
        <f t="shared" si="134"/>
        <v>591.0936</v>
      </c>
      <c r="L72" s="120">
        <v>1</v>
      </c>
      <c r="M72" s="116">
        <f t="shared" si="135"/>
        <v>591.09</v>
      </c>
      <c r="N72" s="145">
        <v>25</v>
      </c>
      <c r="O72" s="116">
        <v>25</v>
      </c>
      <c r="P72" s="10">
        <v>10</v>
      </c>
      <c r="Q72" s="116"/>
      <c r="R72" s="130">
        <f t="shared" si="125"/>
        <v>60</v>
      </c>
      <c r="S72" s="119">
        <f t="shared" si="126"/>
        <v>651.09</v>
      </c>
      <c r="T72" s="145">
        <v>25</v>
      </c>
      <c r="U72" s="116">
        <v>25</v>
      </c>
      <c r="V72" s="10">
        <v>10</v>
      </c>
      <c r="W72" s="116"/>
      <c r="X72" s="130">
        <f t="shared" si="127"/>
        <v>2605.3672</v>
      </c>
      <c r="Y72" s="120">
        <v>1</v>
      </c>
      <c r="Z72" s="130">
        <f t="shared" si="128"/>
        <v>2605</v>
      </c>
    </row>
    <row r="73" s="1" customFormat="1" ht="18" customHeight="1" spans="1:26">
      <c r="A73" s="10">
        <v>441623</v>
      </c>
      <c r="B73" s="10" t="s">
        <v>112</v>
      </c>
      <c r="C73" s="10" t="s">
        <v>116</v>
      </c>
      <c r="D73" s="87">
        <f>VLOOKUP(C73,[1]摸底数!B:D,3,0)</f>
        <v>176812</v>
      </c>
      <c r="E73" s="87">
        <v>6236</v>
      </c>
      <c r="F73" s="141">
        <f t="shared" si="129"/>
        <v>117532</v>
      </c>
      <c r="G73" s="141">
        <f t="shared" si="130"/>
        <v>10578</v>
      </c>
      <c r="H73" s="142">
        <f t="shared" si="131"/>
        <v>235.064</v>
      </c>
      <c r="I73" s="116">
        <f t="shared" si="132"/>
        <v>74.05</v>
      </c>
      <c r="J73" s="116">
        <f t="shared" si="133"/>
        <v>4.2312</v>
      </c>
      <c r="K73" s="116">
        <f t="shared" si="134"/>
        <v>313.3452</v>
      </c>
      <c r="L73" s="120">
        <v>1</v>
      </c>
      <c r="M73" s="116">
        <f t="shared" si="135"/>
        <v>313.35</v>
      </c>
      <c r="N73" s="145">
        <v>25</v>
      </c>
      <c r="O73" s="116">
        <v>25</v>
      </c>
      <c r="P73" s="10">
        <v>10</v>
      </c>
      <c r="Q73" s="116"/>
      <c r="R73" s="130">
        <f t="shared" si="125"/>
        <v>60</v>
      </c>
      <c r="S73" s="119">
        <f t="shared" si="126"/>
        <v>373.35</v>
      </c>
      <c r="T73" s="145">
        <v>25</v>
      </c>
      <c r="U73" s="116">
        <v>25</v>
      </c>
      <c r="V73" s="10">
        <v>10</v>
      </c>
      <c r="W73" s="116"/>
      <c r="X73" s="130">
        <f t="shared" si="127"/>
        <v>1494.3904</v>
      </c>
      <c r="Y73" s="120">
        <v>1</v>
      </c>
      <c r="Z73" s="130">
        <f t="shared" si="128"/>
        <v>1494</v>
      </c>
    </row>
    <row r="74" s="1" customFormat="1" ht="18" customHeight="1" spans="1:26">
      <c r="A74" s="10">
        <v>441624</v>
      </c>
      <c r="B74" s="10" t="s">
        <v>112</v>
      </c>
      <c r="C74" s="10" t="s">
        <v>117</v>
      </c>
      <c r="D74" s="87">
        <f>VLOOKUP(C74,[1]摸底数!B:D,3,0)</f>
        <v>207762</v>
      </c>
      <c r="E74" s="87">
        <v>2169</v>
      </c>
      <c r="F74" s="141">
        <f t="shared" si="129"/>
        <v>143264</v>
      </c>
      <c r="G74" s="141">
        <f t="shared" si="130"/>
        <v>12894</v>
      </c>
      <c r="H74" s="142">
        <f t="shared" si="131"/>
        <v>286.528</v>
      </c>
      <c r="I74" s="116">
        <f t="shared" si="132"/>
        <v>90.26</v>
      </c>
      <c r="J74" s="116">
        <f t="shared" si="133"/>
        <v>5.1576</v>
      </c>
      <c r="K74" s="116">
        <f t="shared" si="134"/>
        <v>381.9456</v>
      </c>
      <c r="L74" s="120">
        <v>1</v>
      </c>
      <c r="M74" s="116">
        <f t="shared" si="135"/>
        <v>381.95</v>
      </c>
      <c r="N74" s="145">
        <v>25</v>
      </c>
      <c r="O74" s="116">
        <v>25</v>
      </c>
      <c r="P74" s="10">
        <v>10</v>
      </c>
      <c r="Q74" s="116"/>
      <c r="R74" s="130">
        <f t="shared" si="125"/>
        <v>60</v>
      </c>
      <c r="S74" s="119">
        <f t="shared" si="126"/>
        <v>441.95</v>
      </c>
      <c r="T74" s="145">
        <v>25</v>
      </c>
      <c r="U74" s="116">
        <v>25</v>
      </c>
      <c r="V74" s="10">
        <v>10</v>
      </c>
      <c r="W74" s="116"/>
      <c r="X74" s="130">
        <f t="shared" si="127"/>
        <v>1768.7912</v>
      </c>
      <c r="Y74" s="120">
        <v>1</v>
      </c>
      <c r="Z74" s="130">
        <f t="shared" si="128"/>
        <v>1769</v>
      </c>
    </row>
    <row r="75" s="1" customFormat="1" ht="18" customHeight="1" spans="1:26">
      <c r="A75" s="10">
        <v>441625</v>
      </c>
      <c r="B75" s="10" t="s">
        <v>112</v>
      </c>
      <c r="C75" s="10" t="s">
        <v>118</v>
      </c>
      <c r="D75" s="87">
        <f>VLOOKUP(C75,[1]摸底数!B:D,3,0)</f>
        <v>214716</v>
      </c>
      <c r="E75" s="87">
        <v>6446</v>
      </c>
      <c r="F75" s="141">
        <f t="shared" si="129"/>
        <v>143855</v>
      </c>
      <c r="G75" s="141">
        <f t="shared" si="130"/>
        <v>12947</v>
      </c>
      <c r="H75" s="142">
        <f t="shared" si="131"/>
        <v>287.71</v>
      </c>
      <c r="I75" s="116">
        <f t="shared" si="132"/>
        <v>90.63</v>
      </c>
      <c r="J75" s="116">
        <f t="shared" si="133"/>
        <v>5.1788</v>
      </c>
      <c r="K75" s="116">
        <f t="shared" si="134"/>
        <v>383.5188</v>
      </c>
      <c r="L75" s="120">
        <v>0.85</v>
      </c>
      <c r="M75" s="116">
        <f t="shared" si="135"/>
        <v>325.99</v>
      </c>
      <c r="N75" s="145">
        <v>25</v>
      </c>
      <c r="O75" s="116">
        <v>25</v>
      </c>
      <c r="P75" s="10">
        <v>10</v>
      </c>
      <c r="Q75" s="116"/>
      <c r="R75" s="130">
        <f t="shared" si="125"/>
        <v>60</v>
      </c>
      <c r="S75" s="119">
        <f t="shared" si="126"/>
        <v>385.99</v>
      </c>
      <c r="T75" s="145">
        <v>25</v>
      </c>
      <c r="U75" s="116">
        <v>25</v>
      </c>
      <c r="V75" s="10">
        <v>10</v>
      </c>
      <c r="W75" s="116"/>
      <c r="X75" s="130">
        <f t="shared" si="127"/>
        <v>1659.8676</v>
      </c>
      <c r="Y75" s="120">
        <v>0.85</v>
      </c>
      <c r="Z75" s="130">
        <f t="shared" si="128"/>
        <v>1411</v>
      </c>
    </row>
    <row r="76" s="4" customFormat="1" ht="18" customHeight="1" spans="1:26">
      <c r="A76" s="22">
        <v>441700</v>
      </c>
      <c r="B76" s="22" t="s">
        <v>119</v>
      </c>
      <c r="C76" s="23" t="s">
        <v>120</v>
      </c>
      <c r="D76" s="140">
        <f t="shared" ref="D76:K76" si="136">SUM(D77:D79)</f>
        <v>859387</v>
      </c>
      <c r="E76" s="140">
        <f t="shared" si="136"/>
        <v>44882</v>
      </c>
      <c r="F76" s="140">
        <f t="shared" si="136"/>
        <v>556689</v>
      </c>
      <c r="G76" s="140">
        <f t="shared" si="136"/>
        <v>50102</v>
      </c>
      <c r="H76" s="107">
        <f t="shared" si="136"/>
        <v>1113.378</v>
      </c>
      <c r="I76" s="107">
        <f t="shared" si="136"/>
        <v>350.72</v>
      </c>
      <c r="J76" s="107">
        <f t="shared" si="136"/>
        <v>20.0408</v>
      </c>
      <c r="K76" s="107">
        <f t="shared" si="136"/>
        <v>1484.1388</v>
      </c>
      <c r="L76" s="107"/>
      <c r="M76" s="107">
        <f t="shared" ref="M76:S76" si="137">SUM(M77:M79)</f>
        <v>1261.51</v>
      </c>
      <c r="N76" s="144">
        <f t="shared" si="137"/>
        <v>75</v>
      </c>
      <c r="O76" s="107">
        <f t="shared" si="137"/>
        <v>50</v>
      </c>
      <c r="P76" s="107">
        <f t="shared" si="137"/>
        <v>20</v>
      </c>
      <c r="Q76" s="107">
        <f t="shared" si="137"/>
        <v>0</v>
      </c>
      <c r="R76" s="107">
        <f t="shared" si="137"/>
        <v>145</v>
      </c>
      <c r="S76" s="107">
        <f t="shared" si="137"/>
        <v>1406.51</v>
      </c>
      <c r="T76" s="144">
        <f t="shared" ref="T76:X76" si="138">SUM(T77:T79)</f>
        <v>75</v>
      </c>
      <c r="U76" s="107">
        <f t="shared" si="138"/>
        <v>50</v>
      </c>
      <c r="V76" s="22"/>
      <c r="W76" s="107"/>
      <c r="X76" s="107">
        <f t="shared" si="138"/>
        <v>6073.8476</v>
      </c>
      <c r="Y76" s="140"/>
      <c r="Z76" s="107">
        <f>SUM(Z77:Z79)</f>
        <v>5163</v>
      </c>
    </row>
    <row r="77" s="4" customFormat="1" ht="18" customHeight="1" spans="1:26">
      <c r="A77" s="22"/>
      <c r="B77" s="22"/>
      <c r="C77" s="10" t="s">
        <v>58</v>
      </c>
      <c r="D77" s="140"/>
      <c r="E77" s="140"/>
      <c r="F77" s="140"/>
      <c r="G77" s="140"/>
      <c r="H77" s="107"/>
      <c r="I77" s="107"/>
      <c r="J77" s="107"/>
      <c r="K77" s="107"/>
      <c r="L77" s="120">
        <v>0.85</v>
      </c>
      <c r="M77" s="107"/>
      <c r="N77" s="145">
        <v>25</v>
      </c>
      <c r="O77" s="107"/>
      <c r="P77" s="22"/>
      <c r="Q77" s="107"/>
      <c r="R77" s="130">
        <f t="shared" ref="R77:R79" si="139">T77+U77+V77+W77</f>
        <v>25</v>
      </c>
      <c r="S77" s="119">
        <f t="shared" ref="S77:S79" si="140">M77+R77</f>
        <v>25</v>
      </c>
      <c r="T77" s="145">
        <v>25</v>
      </c>
      <c r="U77" s="107"/>
      <c r="V77" s="22"/>
      <c r="W77" s="107"/>
      <c r="X77" s="130">
        <f>SUM(H77:W77)</f>
        <v>100.85</v>
      </c>
      <c r="Y77" s="120">
        <v>0.85</v>
      </c>
      <c r="Z77" s="130">
        <f t="shared" ref="Z77:Z79" si="141">ROUND(X77*Y77,0)</f>
        <v>86</v>
      </c>
    </row>
    <row r="78" s="1" customFormat="1" ht="18" customHeight="1" spans="1:26">
      <c r="A78" s="10">
        <v>441721</v>
      </c>
      <c r="B78" s="10" t="s">
        <v>119</v>
      </c>
      <c r="C78" s="10" t="s">
        <v>121</v>
      </c>
      <c r="D78" s="87">
        <f>VLOOKUP(C78,[1]摸底数!B:D,3,0)</f>
        <v>298294</v>
      </c>
      <c r="E78" s="87">
        <v>10447</v>
      </c>
      <c r="F78" s="141">
        <f t="shared" ref="F78:F87" si="142">ROUND(D78*0.7-E78,0)</f>
        <v>198359</v>
      </c>
      <c r="G78" s="141">
        <f t="shared" ref="G78:G87" si="143">ROUND(F78*0.09,0)</f>
        <v>17852</v>
      </c>
      <c r="H78" s="142">
        <f t="shared" ref="H78:H87" si="144">F78*20/10000</f>
        <v>396.718</v>
      </c>
      <c r="I78" s="116">
        <f t="shared" ref="I78:I87" si="145">ROUND(F78*0.5*0.6*21/10000,2)</f>
        <v>124.97</v>
      </c>
      <c r="J78" s="116">
        <f t="shared" ref="J78:J87" si="146">G78*0.4*10/10000</f>
        <v>7.1408</v>
      </c>
      <c r="K78" s="116">
        <f t="shared" ref="K78:K87" si="147">H78+I78+J78</f>
        <v>528.8288</v>
      </c>
      <c r="L78" s="120">
        <v>0.85</v>
      </c>
      <c r="M78" s="116">
        <f t="shared" ref="M78:M87" si="148">ROUND(K78*L78,2)</f>
        <v>449.5</v>
      </c>
      <c r="N78" s="145">
        <v>25</v>
      </c>
      <c r="O78" s="116">
        <v>25</v>
      </c>
      <c r="P78" s="10">
        <v>10</v>
      </c>
      <c r="Q78" s="116"/>
      <c r="R78" s="130">
        <f t="shared" si="139"/>
        <v>60</v>
      </c>
      <c r="S78" s="119">
        <f t="shared" si="140"/>
        <v>509.5</v>
      </c>
      <c r="T78" s="145">
        <v>25</v>
      </c>
      <c r="U78" s="116">
        <v>25</v>
      </c>
      <c r="V78" s="10">
        <v>10</v>
      </c>
      <c r="W78" s="116"/>
      <c r="X78" s="130">
        <f>SUM(H78:W78)</f>
        <v>2197.5076</v>
      </c>
      <c r="Y78" s="120">
        <v>0.85</v>
      </c>
      <c r="Z78" s="130">
        <f t="shared" si="141"/>
        <v>1868</v>
      </c>
    </row>
    <row r="79" s="1" customFormat="1" ht="18" customHeight="1" spans="1:26">
      <c r="A79" s="10">
        <v>441781</v>
      </c>
      <c r="B79" s="10" t="s">
        <v>119</v>
      </c>
      <c r="C79" s="10" t="s">
        <v>122</v>
      </c>
      <c r="D79" s="87">
        <f>VLOOKUP(C79,[1]摸底数!B:D,3,0)</f>
        <v>561093</v>
      </c>
      <c r="E79" s="87">
        <v>34435</v>
      </c>
      <c r="F79" s="141">
        <f t="shared" si="142"/>
        <v>358330</v>
      </c>
      <c r="G79" s="141">
        <f t="shared" si="143"/>
        <v>32250</v>
      </c>
      <c r="H79" s="142">
        <f t="shared" si="144"/>
        <v>716.66</v>
      </c>
      <c r="I79" s="116">
        <f t="shared" si="145"/>
        <v>225.75</v>
      </c>
      <c r="J79" s="116">
        <f t="shared" si="146"/>
        <v>12.9</v>
      </c>
      <c r="K79" s="116">
        <f t="shared" si="147"/>
        <v>955.31</v>
      </c>
      <c r="L79" s="120">
        <v>0.85</v>
      </c>
      <c r="M79" s="116">
        <f t="shared" si="148"/>
        <v>812.01</v>
      </c>
      <c r="N79" s="145">
        <v>25</v>
      </c>
      <c r="O79" s="116">
        <v>25</v>
      </c>
      <c r="P79" s="10">
        <v>10</v>
      </c>
      <c r="Q79" s="116"/>
      <c r="R79" s="130">
        <f t="shared" si="139"/>
        <v>60</v>
      </c>
      <c r="S79" s="119">
        <f t="shared" si="140"/>
        <v>872.01</v>
      </c>
      <c r="T79" s="145">
        <v>25</v>
      </c>
      <c r="U79" s="116">
        <v>25</v>
      </c>
      <c r="V79" s="10">
        <v>10</v>
      </c>
      <c r="W79" s="116"/>
      <c r="X79" s="130">
        <f>SUM(H79:W79)</f>
        <v>3775.49</v>
      </c>
      <c r="Y79" s="120">
        <v>0.85</v>
      </c>
      <c r="Z79" s="130">
        <f t="shared" si="141"/>
        <v>3209</v>
      </c>
    </row>
    <row r="80" s="4" customFormat="1" ht="18" customHeight="1" spans="1:26">
      <c r="A80" s="22"/>
      <c r="B80" s="22"/>
      <c r="C80" s="23" t="s">
        <v>123</v>
      </c>
      <c r="D80" s="140">
        <f t="shared" ref="D80:K80" si="149">SUM(D81:D87)</f>
        <v>1262547</v>
      </c>
      <c r="E80" s="140">
        <f t="shared" si="149"/>
        <v>91745</v>
      </c>
      <c r="F80" s="140">
        <f t="shared" si="149"/>
        <v>792039</v>
      </c>
      <c r="G80" s="140">
        <f t="shared" si="149"/>
        <v>71284</v>
      </c>
      <c r="H80" s="107">
        <f t="shared" si="149"/>
        <v>1584.078</v>
      </c>
      <c r="I80" s="107">
        <f t="shared" si="149"/>
        <v>498.98</v>
      </c>
      <c r="J80" s="107">
        <f t="shared" si="149"/>
        <v>28.5136</v>
      </c>
      <c r="K80" s="107">
        <f t="shared" si="149"/>
        <v>2111.5716</v>
      </c>
      <c r="L80" s="107"/>
      <c r="M80" s="107">
        <f t="shared" ref="M80:S80" si="150">SUM(M81:M87)</f>
        <v>1825.4</v>
      </c>
      <c r="N80" s="144">
        <f t="shared" si="150"/>
        <v>175</v>
      </c>
      <c r="O80" s="107">
        <f t="shared" si="150"/>
        <v>150</v>
      </c>
      <c r="P80" s="107">
        <f t="shared" si="150"/>
        <v>60</v>
      </c>
      <c r="Q80" s="107">
        <f t="shared" si="150"/>
        <v>0</v>
      </c>
      <c r="R80" s="107">
        <f t="shared" si="150"/>
        <v>385</v>
      </c>
      <c r="S80" s="107">
        <f t="shared" si="150"/>
        <v>2210.4</v>
      </c>
      <c r="T80" s="144">
        <f t="shared" ref="T80:X80" si="151">SUM(T81:T87)</f>
        <v>175</v>
      </c>
      <c r="U80" s="107">
        <f t="shared" si="151"/>
        <v>150</v>
      </c>
      <c r="V80" s="22"/>
      <c r="W80" s="107"/>
      <c r="X80" s="107">
        <f t="shared" si="151"/>
        <v>9420.1932</v>
      </c>
      <c r="Y80" s="140"/>
      <c r="Z80" s="107">
        <f>SUM(Z81:Z87)</f>
        <v>8201</v>
      </c>
    </row>
    <row r="81" s="4" customFormat="1" ht="18" customHeight="1" spans="1:26">
      <c r="A81" s="22"/>
      <c r="B81" s="22"/>
      <c r="C81" s="10" t="s">
        <v>58</v>
      </c>
      <c r="D81" s="140"/>
      <c r="E81" s="140"/>
      <c r="F81" s="140"/>
      <c r="G81" s="140"/>
      <c r="H81" s="107"/>
      <c r="I81" s="107"/>
      <c r="J81" s="107"/>
      <c r="K81" s="107"/>
      <c r="L81" s="120">
        <v>0.85</v>
      </c>
      <c r="M81" s="107"/>
      <c r="N81" s="145">
        <v>25</v>
      </c>
      <c r="O81" s="107"/>
      <c r="P81" s="22"/>
      <c r="Q81" s="107"/>
      <c r="R81" s="130">
        <f t="shared" ref="R81:R87" si="152">T81+U81+V81+W81</f>
        <v>25</v>
      </c>
      <c r="S81" s="119">
        <f t="shared" ref="S81:S87" si="153">M81+R81</f>
        <v>25</v>
      </c>
      <c r="T81" s="145">
        <v>25</v>
      </c>
      <c r="U81" s="107"/>
      <c r="V81" s="22"/>
      <c r="W81" s="107"/>
      <c r="X81" s="130">
        <f t="shared" ref="X81:X87" si="154">SUM(H81:W81)</f>
        <v>100.85</v>
      </c>
      <c r="Y81" s="120">
        <v>0.85</v>
      </c>
      <c r="Z81" s="130">
        <f t="shared" ref="Z81:Z87" si="155">ROUND(X81*Y81,0)</f>
        <v>86</v>
      </c>
    </row>
    <row r="82" s="1" customFormat="1" ht="18" customHeight="1" spans="1:26">
      <c r="A82" s="10">
        <v>441821</v>
      </c>
      <c r="B82" s="10" t="s">
        <v>124</v>
      </c>
      <c r="C82" s="10" t="s">
        <v>125</v>
      </c>
      <c r="D82" s="87">
        <f>VLOOKUP(C82,[1]摸底数!B:D,3,0)</f>
        <v>205323</v>
      </c>
      <c r="E82" s="87">
        <v>9832</v>
      </c>
      <c r="F82" s="141">
        <f t="shared" si="142"/>
        <v>133894</v>
      </c>
      <c r="G82" s="141">
        <f t="shared" si="143"/>
        <v>12050</v>
      </c>
      <c r="H82" s="142">
        <f t="shared" si="144"/>
        <v>267.788</v>
      </c>
      <c r="I82" s="116">
        <f t="shared" si="145"/>
        <v>84.35</v>
      </c>
      <c r="J82" s="116">
        <f t="shared" si="146"/>
        <v>4.82</v>
      </c>
      <c r="K82" s="116">
        <f t="shared" si="147"/>
        <v>356.958</v>
      </c>
      <c r="L82" s="120">
        <v>0.85</v>
      </c>
      <c r="M82" s="116">
        <f t="shared" si="148"/>
        <v>303.41</v>
      </c>
      <c r="N82" s="145">
        <v>25</v>
      </c>
      <c r="O82" s="116">
        <v>25</v>
      </c>
      <c r="P82" s="10">
        <v>10</v>
      </c>
      <c r="Q82" s="116"/>
      <c r="R82" s="130">
        <f t="shared" si="152"/>
        <v>60</v>
      </c>
      <c r="S82" s="119">
        <f t="shared" si="153"/>
        <v>363.41</v>
      </c>
      <c r="T82" s="145">
        <v>25</v>
      </c>
      <c r="U82" s="116">
        <v>25</v>
      </c>
      <c r="V82" s="10">
        <v>10</v>
      </c>
      <c r="W82" s="116"/>
      <c r="X82" s="130">
        <f t="shared" si="154"/>
        <v>1561.586</v>
      </c>
      <c r="Y82" s="120">
        <v>0.85</v>
      </c>
      <c r="Z82" s="130">
        <f t="shared" si="155"/>
        <v>1327</v>
      </c>
    </row>
    <row r="83" s="1" customFormat="1" ht="18" customHeight="1" spans="1:26">
      <c r="A83" s="10">
        <v>441823</v>
      </c>
      <c r="B83" s="10" t="s">
        <v>124</v>
      </c>
      <c r="C83" s="10" t="s">
        <v>126</v>
      </c>
      <c r="D83" s="87">
        <f>VLOOKUP(C83,[1]摸底数!B:D,3,0)</f>
        <v>226254</v>
      </c>
      <c r="E83" s="87">
        <v>12905</v>
      </c>
      <c r="F83" s="141">
        <f t="shared" si="142"/>
        <v>145473</v>
      </c>
      <c r="G83" s="141">
        <f t="shared" si="143"/>
        <v>13093</v>
      </c>
      <c r="H83" s="142">
        <f t="shared" si="144"/>
        <v>290.946</v>
      </c>
      <c r="I83" s="116">
        <f t="shared" si="145"/>
        <v>91.65</v>
      </c>
      <c r="J83" s="116">
        <f t="shared" si="146"/>
        <v>5.2372</v>
      </c>
      <c r="K83" s="116">
        <f t="shared" si="147"/>
        <v>387.8332</v>
      </c>
      <c r="L83" s="120">
        <v>0.85</v>
      </c>
      <c r="M83" s="116">
        <f t="shared" si="148"/>
        <v>329.66</v>
      </c>
      <c r="N83" s="145">
        <v>25</v>
      </c>
      <c r="O83" s="116">
        <v>25</v>
      </c>
      <c r="P83" s="10">
        <v>10</v>
      </c>
      <c r="Q83" s="116"/>
      <c r="R83" s="130">
        <f t="shared" si="152"/>
        <v>60</v>
      </c>
      <c r="S83" s="119">
        <f t="shared" si="153"/>
        <v>389.66</v>
      </c>
      <c r="T83" s="145">
        <v>25</v>
      </c>
      <c r="U83" s="116">
        <v>25</v>
      </c>
      <c r="V83" s="10">
        <v>10</v>
      </c>
      <c r="W83" s="116"/>
      <c r="X83" s="130">
        <f t="shared" si="154"/>
        <v>1675.8364</v>
      </c>
      <c r="Y83" s="120">
        <v>0.85</v>
      </c>
      <c r="Z83" s="130">
        <f t="shared" si="155"/>
        <v>1424</v>
      </c>
    </row>
    <row r="84" s="1" customFormat="1" ht="18" customHeight="1" spans="1:26">
      <c r="A84" s="10">
        <v>441825</v>
      </c>
      <c r="B84" s="10" t="s">
        <v>124</v>
      </c>
      <c r="C84" s="10" t="s">
        <v>127</v>
      </c>
      <c r="D84" s="87">
        <f>VLOOKUP(C84,[1]摸底数!B:D,3,0)</f>
        <v>52535</v>
      </c>
      <c r="E84" s="87">
        <v>931</v>
      </c>
      <c r="F84" s="141">
        <f t="shared" si="142"/>
        <v>35844</v>
      </c>
      <c r="G84" s="141">
        <f t="shared" si="143"/>
        <v>3226</v>
      </c>
      <c r="H84" s="142">
        <f t="shared" si="144"/>
        <v>71.688</v>
      </c>
      <c r="I84" s="116">
        <f t="shared" si="145"/>
        <v>22.58</v>
      </c>
      <c r="J84" s="116">
        <f t="shared" si="146"/>
        <v>1.2904</v>
      </c>
      <c r="K84" s="116">
        <f t="shared" si="147"/>
        <v>95.5584</v>
      </c>
      <c r="L84" s="120">
        <v>1</v>
      </c>
      <c r="M84" s="116">
        <f t="shared" si="148"/>
        <v>95.56</v>
      </c>
      <c r="N84" s="145">
        <v>25</v>
      </c>
      <c r="O84" s="116">
        <v>25</v>
      </c>
      <c r="P84" s="10">
        <v>10</v>
      </c>
      <c r="Q84" s="116"/>
      <c r="R84" s="130">
        <f t="shared" si="152"/>
        <v>60</v>
      </c>
      <c r="S84" s="119">
        <f t="shared" si="153"/>
        <v>155.56</v>
      </c>
      <c r="T84" s="145">
        <v>25</v>
      </c>
      <c r="U84" s="116">
        <v>25</v>
      </c>
      <c r="V84" s="10">
        <v>10</v>
      </c>
      <c r="W84" s="116"/>
      <c r="X84" s="130">
        <f t="shared" si="154"/>
        <v>623.2368</v>
      </c>
      <c r="Y84" s="120">
        <v>1</v>
      </c>
      <c r="Z84" s="130">
        <f t="shared" si="155"/>
        <v>623</v>
      </c>
    </row>
    <row r="85" s="1" customFormat="1" ht="18" customHeight="1" spans="1:26">
      <c r="A85" s="10">
        <v>441826</v>
      </c>
      <c r="B85" s="10" t="s">
        <v>124</v>
      </c>
      <c r="C85" s="10" t="s">
        <v>128</v>
      </c>
      <c r="D85" s="87">
        <f>VLOOKUP(C85,[1]摸底数!B:D,3,0)</f>
        <v>66948</v>
      </c>
      <c r="E85" s="87">
        <v>6274</v>
      </c>
      <c r="F85" s="141">
        <f t="shared" si="142"/>
        <v>40590</v>
      </c>
      <c r="G85" s="141">
        <f t="shared" si="143"/>
        <v>3653</v>
      </c>
      <c r="H85" s="142">
        <f t="shared" si="144"/>
        <v>81.18</v>
      </c>
      <c r="I85" s="116">
        <f t="shared" si="145"/>
        <v>25.57</v>
      </c>
      <c r="J85" s="116">
        <f t="shared" si="146"/>
        <v>1.4612</v>
      </c>
      <c r="K85" s="116">
        <f t="shared" si="147"/>
        <v>108.2112</v>
      </c>
      <c r="L85" s="120">
        <v>1</v>
      </c>
      <c r="M85" s="116">
        <f t="shared" si="148"/>
        <v>108.21</v>
      </c>
      <c r="N85" s="145">
        <v>25</v>
      </c>
      <c r="O85" s="116">
        <v>25</v>
      </c>
      <c r="P85" s="10">
        <v>10</v>
      </c>
      <c r="Q85" s="116"/>
      <c r="R85" s="130">
        <f t="shared" si="152"/>
        <v>60</v>
      </c>
      <c r="S85" s="119">
        <f t="shared" si="153"/>
        <v>168.21</v>
      </c>
      <c r="T85" s="145">
        <v>25</v>
      </c>
      <c r="U85" s="116">
        <v>25</v>
      </c>
      <c r="V85" s="10">
        <v>10</v>
      </c>
      <c r="W85" s="116"/>
      <c r="X85" s="130">
        <f t="shared" si="154"/>
        <v>673.8424</v>
      </c>
      <c r="Y85" s="120">
        <v>1</v>
      </c>
      <c r="Z85" s="130">
        <f t="shared" si="155"/>
        <v>674</v>
      </c>
    </row>
    <row r="86" s="1" customFormat="1" ht="18" customHeight="1" spans="1:26">
      <c r="A86" s="10">
        <v>441881</v>
      </c>
      <c r="B86" s="10" t="s">
        <v>124</v>
      </c>
      <c r="C86" s="10" t="s">
        <v>129</v>
      </c>
      <c r="D86" s="87">
        <f>VLOOKUP(C86,[1]摸底数!B:D,3,0)</f>
        <v>481427</v>
      </c>
      <c r="E86" s="87">
        <v>33857</v>
      </c>
      <c r="F86" s="141">
        <f t="shared" si="142"/>
        <v>303142</v>
      </c>
      <c r="G86" s="141">
        <f t="shared" si="143"/>
        <v>27283</v>
      </c>
      <c r="H86" s="142">
        <f t="shared" si="144"/>
        <v>606.284</v>
      </c>
      <c r="I86" s="116">
        <f t="shared" si="145"/>
        <v>190.98</v>
      </c>
      <c r="J86" s="116">
        <f t="shared" si="146"/>
        <v>10.9132</v>
      </c>
      <c r="K86" s="116">
        <f t="shared" si="147"/>
        <v>808.1772</v>
      </c>
      <c r="L86" s="120">
        <v>0.85</v>
      </c>
      <c r="M86" s="116">
        <f t="shared" si="148"/>
        <v>686.95</v>
      </c>
      <c r="N86" s="145">
        <v>25</v>
      </c>
      <c r="O86" s="116">
        <v>25</v>
      </c>
      <c r="P86" s="10">
        <v>10</v>
      </c>
      <c r="Q86" s="116"/>
      <c r="R86" s="130">
        <f t="shared" si="152"/>
        <v>60</v>
      </c>
      <c r="S86" s="119">
        <f t="shared" si="153"/>
        <v>746.95</v>
      </c>
      <c r="T86" s="145">
        <v>25</v>
      </c>
      <c r="U86" s="116">
        <v>25</v>
      </c>
      <c r="V86" s="10">
        <v>10</v>
      </c>
      <c r="W86" s="116"/>
      <c r="X86" s="130">
        <f t="shared" si="154"/>
        <v>3231.1044</v>
      </c>
      <c r="Y86" s="120">
        <v>0.85</v>
      </c>
      <c r="Z86" s="130">
        <f t="shared" si="155"/>
        <v>2746</v>
      </c>
    </row>
    <row r="87" s="1" customFormat="1" ht="18" customHeight="1" spans="1:26">
      <c r="A87" s="10">
        <v>441882</v>
      </c>
      <c r="B87" s="10" t="s">
        <v>124</v>
      </c>
      <c r="C87" s="10" t="s">
        <v>130</v>
      </c>
      <c r="D87" s="87">
        <f>VLOOKUP(C87,[1]摸底数!B:D,3,0)</f>
        <v>230060</v>
      </c>
      <c r="E87" s="87">
        <v>27946</v>
      </c>
      <c r="F87" s="141">
        <f t="shared" si="142"/>
        <v>133096</v>
      </c>
      <c r="G87" s="141">
        <f t="shared" si="143"/>
        <v>11979</v>
      </c>
      <c r="H87" s="142">
        <f t="shared" si="144"/>
        <v>266.192</v>
      </c>
      <c r="I87" s="116">
        <f t="shared" si="145"/>
        <v>83.85</v>
      </c>
      <c r="J87" s="116">
        <f t="shared" si="146"/>
        <v>4.7916</v>
      </c>
      <c r="K87" s="116">
        <f t="shared" si="147"/>
        <v>354.8336</v>
      </c>
      <c r="L87" s="120">
        <v>0.85</v>
      </c>
      <c r="M87" s="116">
        <f t="shared" si="148"/>
        <v>301.61</v>
      </c>
      <c r="N87" s="145">
        <v>25</v>
      </c>
      <c r="O87" s="116">
        <v>25</v>
      </c>
      <c r="P87" s="10">
        <v>10</v>
      </c>
      <c r="Q87" s="116"/>
      <c r="R87" s="130">
        <f t="shared" si="152"/>
        <v>60</v>
      </c>
      <c r="S87" s="119">
        <f t="shared" si="153"/>
        <v>361.61</v>
      </c>
      <c r="T87" s="145">
        <v>25</v>
      </c>
      <c r="U87" s="116">
        <v>25</v>
      </c>
      <c r="V87" s="10">
        <v>10</v>
      </c>
      <c r="W87" s="116"/>
      <c r="X87" s="130">
        <f t="shared" si="154"/>
        <v>1553.7372</v>
      </c>
      <c r="Y87" s="120">
        <v>0.85</v>
      </c>
      <c r="Z87" s="130">
        <f t="shared" si="155"/>
        <v>1321</v>
      </c>
    </row>
    <row r="88" s="4" customFormat="1" ht="18" customHeight="1" spans="1:26">
      <c r="A88" s="22">
        <v>445100</v>
      </c>
      <c r="B88" s="22" t="s">
        <v>131</v>
      </c>
      <c r="C88" s="23" t="s">
        <v>132</v>
      </c>
      <c r="D88" s="140">
        <f t="shared" ref="D88:K88" si="156">SUM(D89:D90)</f>
        <v>577334</v>
      </c>
      <c r="E88" s="140">
        <f t="shared" si="156"/>
        <v>4652</v>
      </c>
      <c r="F88" s="140">
        <f t="shared" si="156"/>
        <v>399482</v>
      </c>
      <c r="G88" s="140">
        <f t="shared" si="156"/>
        <v>35953</v>
      </c>
      <c r="H88" s="107">
        <f t="shared" si="156"/>
        <v>798.964</v>
      </c>
      <c r="I88" s="107">
        <f t="shared" si="156"/>
        <v>251.67</v>
      </c>
      <c r="J88" s="107">
        <f t="shared" si="156"/>
        <v>14.3812</v>
      </c>
      <c r="K88" s="107">
        <f t="shared" si="156"/>
        <v>1065.0152</v>
      </c>
      <c r="L88" s="107"/>
      <c r="M88" s="107">
        <f t="shared" ref="M88:S88" si="157">SUM(M89:M90)</f>
        <v>1065.02</v>
      </c>
      <c r="N88" s="144">
        <f t="shared" si="157"/>
        <v>50</v>
      </c>
      <c r="O88" s="107">
        <f t="shared" si="157"/>
        <v>25</v>
      </c>
      <c r="P88" s="107">
        <f t="shared" si="157"/>
        <v>10</v>
      </c>
      <c r="Q88" s="107">
        <f t="shared" si="157"/>
        <v>0</v>
      </c>
      <c r="R88" s="107">
        <f t="shared" si="157"/>
        <v>85</v>
      </c>
      <c r="S88" s="107">
        <f t="shared" si="157"/>
        <v>1150.02</v>
      </c>
      <c r="T88" s="144">
        <f t="shared" ref="T88:X88" si="158">SUM(T89:T90)</f>
        <v>50</v>
      </c>
      <c r="U88" s="107">
        <f t="shared" si="158"/>
        <v>25</v>
      </c>
      <c r="V88" s="22"/>
      <c r="W88" s="107"/>
      <c r="X88" s="107">
        <f t="shared" si="158"/>
        <v>4601.9204</v>
      </c>
      <c r="Y88" s="140"/>
      <c r="Z88" s="107">
        <f>SUM(Z89:Z90)</f>
        <v>4587</v>
      </c>
    </row>
    <row r="89" s="4" customFormat="1" ht="18" customHeight="1" spans="1:26">
      <c r="A89" s="22"/>
      <c r="B89" s="22"/>
      <c r="C89" s="10" t="s">
        <v>58</v>
      </c>
      <c r="D89" s="140"/>
      <c r="E89" s="140"/>
      <c r="F89" s="140"/>
      <c r="G89" s="140"/>
      <c r="H89" s="107"/>
      <c r="I89" s="107"/>
      <c r="J89" s="107"/>
      <c r="K89" s="107"/>
      <c r="L89" s="120">
        <v>0.85</v>
      </c>
      <c r="M89" s="107"/>
      <c r="N89" s="145">
        <v>25</v>
      </c>
      <c r="O89" s="107"/>
      <c r="P89" s="22"/>
      <c r="Q89" s="107"/>
      <c r="R89" s="130">
        <f t="shared" ref="R89:R95" si="159">T89+U89+V89+W89</f>
        <v>25</v>
      </c>
      <c r="S89" s="119">
        <f t="shared" ref="S89:S95" si="160">M89+R89</f>
        <v>25</v>
      </c>
      <c r="T89" s="145">
        <v>25</v>
      </c>
      <c r="U89" s="107"/>
      <c r="V89" s="22"/>
      <c r="W89" s="107"/>
      <c r="X89" s="130">
        <f t="shared" ref="X89:X95" si="161">SUM(H89:W89)</f>
        <v>100.85</v>
      </c>
      <c r="Y89" s="120">
        <v>0.85</v>
      </c>
      <c r="Z89" s="130">
        <f t="shared" ref="Z89:Z95" si="162">ROUND(X89*Y89,0)</f>
        <v>86</v>
      </c>
    </row>
    <row r="90" s="1" customFormat="1" ht="18" customHeight="1" spans="1:26">
      <c r="A90" s="10">
        <v>445122</v>
      </c>
      <c r="B90" s="10" t="s">
        <v>131</v>
      </c>
      <c r="C90" s="10" t="s">
        <v>133</v>
      </c>
      <c r="D90" s="87">
        <f>VLOOKUP(C90,[1]摸底数!B:D,3,0)</f>
        <v>577334</v>
      </c>
      <c r="E90" s="87">
        <v>4652</v>
      </c>
      <c r="F90" s="141">
        <f t="shared" ref="F90:F95" si="163">ROUND(D90*0.7-E90,0)</f>
        <v>399482</v>
      </c>
      <c r="G90" s="141">
        <f t="shared" ref="G90:G95" si="164">ROUND(F90*0.09,0)</f>
        <v>35953</v>
      </c>
      <c r="H90" s="142">
        <f t="shared" ref="H90:H95" si="165">F90*20/10000</f>
        <v>798.964</v>
      </c>
      <c r="I90" s="116">
        <f t="shared" ref="I90:I95" si="166">ROUND(F90*0.5*0.6*21/10000,2)</f>
        <v>251.67</v>
      </c>
      <c r="J90" s="116">
        <f t="shared" ref="J90:J95" si="167">G90*0.4*10/10000</f>
        <v>14.3812</v>
      </c>
      <c r="K90" s="116">
        <f t="shared" ref="K90:K95" si="168">H90+I90+J90</f>
        <v>1065.0152</v>
      </c>
      <c r="L90" s="120">
        <v>1</v>
      </c>
      <c r="M90" s="116">
        <f t="shared" ref="M90:M95" si="169">ROUND(K90*L90,2)</f>
        <v>1065.02</v>
      </c>
      <c r="N90" s="145">
        <v>25</v>
      </c>
      <c r="O90" s="116">
        <v>25</v>
      </c>
      <c r="P90" s="10">
        <v>10</v>
      </c>
      <c r="Q90" s="116"/>
      <c r="R90" s="130">
        <f t="shared" si="159"/>
        <v>60</v>
      </c>
      <c r="S90" s="119">
        <f t="shared" si="160"/>
        <v>1125.02</v>
      </c>
      <c r="T90" s="145">
        <v>25</v>
      </c>
      <c r="U90" s="116">
        <v>25</v>
      </c>
      <c r="V90" s="10">
        <v>10</v>
      </c>
      <c r="W90" s="116"/>
      <c r="X90" s="130">
        <f t="shared" si="161"/>
        <v>4501.0704</v>
      </c>
      <c r="Y90" s="120">
        <v>1</v>
      </c>
      <c r="Z90" s="130">
        <f t="shared" si="162"/>
        <v>4501</v>
      </c>
    </row>
    <row r="91" s="4" customFormat="1" ht="18" customHeight="1" spans="1:26">
      <c r="A91" s="22">
        <v>445200</v>
      </c>
      <c r="B91" s="22" t="s">
        <v>134</v>
      </c>
      <c r="C91" s="23" t="s">
        <v>135</v>
      </c>
      <c r="D91" s="140">
        <f t="shared" ref="D91:K91" si="170">SUM(D92:D95)</f>
        <v>1945919</v>
      </c>
      <c r="E91" s="140">
        <f t="shared" si="170"/>
        <v>13897</v>
      </c>
      <c r="F91" s="140">
        <f t="shared" si="170"/>
        <v>1348247</v>
      </c>
      <c r="G91" s="140">
        <f t="shared" si="170"/>
        <v>121343</v>
      </c>
      <c r="H91" s="107">
        <f t="shared" si="170"/>
        <v>2696.494</v>
      </c>
      <c r="I91" s="107">
        <f t="shared" si="170"/>
        <v>849.4</v>
      </c>
      <c r="J91" s="107">
        <f t="shared" si="170"/>
        <v>48.5372</v>
      </c>
      <c r="K91" s="107">
        <f t="shared" si="170"/>
        <v>3594.4312</v>
      </c>
      <c r="L91" s="107"/>
      <c r="M91" s="107">
        <f t="shared" ref="M91:S91" si="171">SUM(M92:M95)</f>
        <v>3594.43</v>
      </c>
      <c r="N91" s="144">
        <f t="shared" si="171"/>
        <v>100</v>
      </c>
      <c r="O91" s="107">
        <f t="shared" si="171"/>
        <v>75</v>
      </c>
      <c r="P91" s="107">
        <f t="shared" si="171"/>
        <v>30</v>
      </c>
      <c r="Q91" s="107">
        <f t="shared" si="171"/>
        <v>0</v>
      </c>
      <c r="R91" s="107">
        <f t="shared" si="171"/>
        <v>205</v>
      </c>
      <c r="S91" s="107">
        <f t="shared" si="171"/>
        <v>3799.43</v>
      </c>
      <c r="T91" s="144">
        <f t="shared" ref="T91:X91" si="172">SUM(T92:T95)</f>
        <v>100</v>
      </c>
      <c r="U91" s="107">
        <f t="shared" si="172"/>
        <v>75</v>
      </c>
      <c r="V91" s="22"/>
      <c r="W91" s="107"/>
      <c r="X91" s="107">
        <f t="shared" si="172"/>
        <v>15201.5724</v>
      </c>
      <c r="Y91" s="140"/>
      <c r="Z91" s="107">
        <f>SUM(Z92:Z95)</f>
        <v>15187</v>
      </c>
    </row>
    <row r="92" s="4" customFormat="1" ht="18" customHeight="1" spans="1:26">
      <c r="A92" s="22"/>
      <c r="B92" s="22"/>
      <c r="C92" s="10" t="s">
        <v>58</v>
      </c>
      <c r="D92" s="140"/>
      <c r="E92" s="140"/>
      <c r="F92" s="140"/>
      <c r="G92" s="140"/>
      <c r="H92" s="107"/>
      <c r="I92" s="107"/>
      <c r="J92" s="107"/>
      <c r="K92" s="107"/>
      <c r="L92" s="120">
        <v>0.85</v>
      </c>
      <c r="M92" s="107"/>
      <c r="N92" s="145">
        <v>25</v>
      </c>
      <c r="O92" s="107"/>
      <c r="P92" s="22"/>
      <c r="Q92" s="107"/>
      <c r="R92" s="130">
        <f t="shared" si="159"/>
        <v>25</v>
      </c>
      <c r="S92" s="119">
        <f t="shared" si="160"/>
        <v>25</v>
      </c>
      <c r="T92" s="145">
        <v>25</v>
      </c>
      <c r="U92" s="107"/>
      <c r="V92" s="22"/>
      <c r="W92" s="107"/>
      <c r="X92" s="130">
        <f t="shared" si="161"/>
        <v>100.85</v>
      </c>
      <c r="Y92" s="120">
        <v>0.85</v>
      </c>
      <c r="Z92" s="130">
        <f t="shared" si="162"/>
        <v>86</v>
      </c>
    </row>
    <row r="93" s="1" customFormat="1" ht="18" customHeight="1" spans="1:26">
      <c r="A93" s="10">
        <v>445222</v>
      </c>
      <c r="B93" s="10" t="s">
        <v>134</v>
      </c>
      <c r="C93" s="10" t="s">
        <v>136</v>
      </c>
      <c r="D93" s="87">
        <f>VLOOKUP(C93,[1]摸底数!B:D,3,0)</f>
        <v>366294</v>
      </c>
      <c r="E93" s="87">
        <v>1978</v>
      </c>
      <c r="F93" s="141">
        <f t="shared" si="163"/>
        <v>254428</v>
      </c>
      <c r="G93" s="141">
        <f t="shared" si="164"/>
        <v>22899</v>
      </c>
      <c r="H93" s="142">
        <f t="shared" si="165"/>
        <v>508.856</v>
      </c>
      <c r="I93" s="116">
        <f t="shared" si="166"/>
        <v>160.29</v>
      </c>
      <c r="J93" s="116">
        <f t="shared" si="167"/>
        <v>9.1596</v>
      </c>
      <c r="K93" s="116">
        <f t="shared" si="168"/>
        <v>678.3056</v>
      </c>
      <c r="L93" s="120">
        <v>1</v>
      </c>
      <c r="M93" s="116">
        <f t="shared" si="169"/>
        <v>678.31</v>
      </c>
      <c r="N93" s="145">
        <v>25</v>
      </c>
      <c r="O93" s="116">
        <v>25</v>
      </c>
      <c r="P93" s="10">
        <v>10</v>
      </c>
      <c r="Q93" s="116"/>
      <c r="R93" s="130">
        <f t="shared" si="159"/>
        <v>60</v>
      </c>
      <c r="S93" s="119">
        <f t="shared" si="160"/>
        <v>738.31</v>
      </c>
      <c r="T93" s="145">
        <v>25</v>
      </c>
      <c r="U93" s="116">
        <v>25</v>
      </c>
      <c r="V93" s="10">
        <v>10</v>
      </c>
      <c r="W93" s="116"/>
      <c r="X93" s="130">
        <f t="shared" si="161"/>
        <v>2954.2312</v>
      </c>
      <c r="Y93" s="120">
        <v>1</v>
      </c>
      <c r="Z93" s="130">
        <f t="shared" si="162"/>
        <v>2954</v>
      </c>
    </row>
    <row r="94" s="1" customFormat="1" ht="18" customHeight="1" spans="1:26">
      <c r="A94" s="10">
        <v>445224</v>
      </c>
      <c r="B94" s="10" t="s">
        <v>134</v>
      </c>
      <c r="C94" s="10" t="s">
        <v>137</v>
      </c>
      <c r="D94" s="87">
        <f>VLOOKUP(C94,[1]摸底数!B:D,3,0)</f>
        <v>554985</v>
      </c>
      <c r="E94" s="87">
        <v>6284</v>
      </c>
      <c r="F94" s="141">
        <f t="shared" si="163"/>
        <v>382206</v>
      </c>
      <c r="G94" s="141">
        <f t="shared" si="164"/>
        <v>34399</v>
      </c>
      <c r="H94" s="142">
        <f t="shared" si="165"/>
        <v>764.412</v>
      </c>
      <c r="I94" s="116">
        <f t="shared" si="166"/>
        <v>240.79</v>
      </c>
      <c r="J94" s="116">
        <f t="shared" si="167"/>
        <v>13.7596</v>
      </c>
      <c r="K94" s="116">
        <f t="shared" si="168"/>
        <v>1018.9616</v>
      </c>
      <c r="L94" s="120">
        <v>1</v>
      </c>
      <c r="M94" s="116">
        <f t="shared" si="169"/>
        <v>1018.96</v>
      </c>
      <c r="N94" s="145">
        <v>25</v>
      </c>
      <c r="O94" s="116">
        <v>25</v>
      </c>
      <c r="P94" s="10">
        <v>10</v>
      </c>
      <c r="Q94" s="116"/>
      <c r="R94" s="130">
        <f t="shared" si="159"/>
        <v>60</v>
      </c>
      <c r="S94" s="119">
        <f t="shared" si="160"/>
        <v>1078.96</v>
      </c>
      <c r="T94" s="145">
        <v>25</v>
      </c>
      <c r="U94" s="116">
        <v>25</v>
      </c>
      <c r="V94" s="10">
        <v>10</v>
      </c>
      <c r="W94" s="116"/>
      <c r="X94" s="130">
        <f t="shared" si="161"/>
        <v>4316.8432</v>
      </c>
      <c r="Y94" s="120">
        <v>1</v>
      </c>
      <c r="Z94" s="130">
        <f t="shared" si="162"/>
        <v>4317</v>
      </c>
    </row>
    <row r="95" s="1" customFormat="1" ht="18" customHeight="1" spans="1:26">
      <c r="A95" s="10">
        <v>445281</v>
      </c>
      <c r="B95" s="10" t="s">
        <v>134</v>
      </c>
      <c r="C95" s="10" t="s">
        <v>138</v>
      </c>
      <c r="D95" s="87">
        <f>VLOOKUP(C95,[1]摸底数!B:D,3,0)</f>
        <v>1024640</v>
      </c>
      <c r="E95" s="87">
        <v>5635</v>
      </c>
      <c r="F95" s="141">
        <f t="shared" si="163"/>
        <v>711613</v>
      </c>
      <c r="G95" s="141">
        <f t="shared" si="164"/>
        <v>64045</v>
      </c>
      <c r="H95" s="142">
        <f t="shared" si="165"/>
        <v>1423.226</v>
      </c>
      <c r="I95" s="116">
        <f t="shared" si="166"/>
        <v>448.32</v>
      </c>
      <c r="J95" s="116">
        <f t="shared" si="167"/>
        <v>25.618</v>
      </c>
      <c r="K95" s="116">
        <f t="shared" si="168"/>
        <v>1897.164</v>
      </c>
      <c r="L95" s="120">
        <v>1</v>
      </c>
      <c r="M95" s="116">
        <f t="shared" si="169"/>
        <v>1897.16</v>
      </c>
      <c r="N95" s="145">
        <v>25</v>
      </c>
      <c r="O95" s="116">
        <v>25</v>
      </c>
      <c r="P95" s="10">
        <v>10</v>
      </c>
      <c r="Q95" s="116"/>
      <c r="R95" s="130">
        <f t="shared" si="159"/>
        <v>60</v>
      </c>
      <c r="S95" s="119">
        <f t="shared" si="160"/>
        <v>1957.16</v>
      </c>
      <c r="T95" s="145">
        <v>25</v>
      </c>
      <c r="U95" s="116">
        <v>25</v>
      </c>
      <c r="V95" s="10">
        <v>10</v>
      </c>
      <c r="W95" s="116"/>
      <c r="X95" s="130">
        <f t="shared" si="161"/>
        <v>7829.648</v>
      </c>
      <c r="Y95" s="120">
        <v>1</v>
      </c>
      <c r="Z95" s="130">
        <f t="shared" si="162"/>
        <v>7830</v>
      </c>
    </row>
    <row r="96" s="4" customFormat="1" ht="18" customHeight="1" spans="1:26">
      <c r="A96" s="22">
        <v>445300</v>
      </c>
      <c r="B96" s="22" t="s">
        <v>139</v>
      </c>
      <c r="C96" s="23" t="s">
        <v>140</v>
      </c>
      <c r="D96" s="140">
        <f t="shared" ref="D96:K96" si="173">SUM(D97:D100)</f>
        <v>942096</v>
      </c>
      <c r="E96" s="140">
        <f t="shared" si="173"/>
        <v>68637</v>
      </c>
      <c r="F96" s="140">
        <f t="shared" si="173"/>
        <v>590830</v>
      </c>
      <c r="G96" s="140">
        <f t="shared" si="173"/>
        <v>53175</v>
      </c>
      <c r="H96" s="107">
        <f t="shared" si="173"/>
        <v>1181.66</v>
      </c>
      <c r="I96" s="107">
        <f t="shared" si="173"/>
        <v>372.21</v>
      </c>
      <c r="J96" s="107">
        <f t="shared" si="173"/>
        <v>21.27</v>
      </c>
      <c r="K96" s="107">
        <f t="shared" si="173"/>
        <v>1575.14</v>
      </c>
      <c r="L96" s="107"/>
      <c r="M96" s="107">
        <f t="shared" ref="M96:S96" si="174">SUM(M97:M100)</f>
        <v>1338.87</v>
      </c>
      <c r="N96" s="144">
        <f t="shared" si="174"/>
        <v>100</v>
      </c>
      <c r="O96" s="107">
        <f t="shared" si="174"/>
        <v>75</v>
      </c>
      <c r="P96" s="107">
        <f t="shared" si="174"/>
        <v>30</v>
      </c>
      <c r="Q96" s="107">
        <f t="shared" si="174"/>
        <v>0</v>
      </c>
      <c r="R96" s="107">
        <f t="shared" si="174"/>
        <v>205</v>
      </c>
      <c r="S96" s="107">
        <f t="shared" si="174"/>
        <v>1543.87</v>
      </c>
      <c r="T96" s="144">
        <f t="shared" ref="T96:X96" si="175">SUM(T97:T100)</f>
        <v>100</v>
      </c>
      <c r="U96" s="107">
        <f t="shared" si="175"/>
        <v>75</v>
      </c>
      <c r="V96" s="22"/>
      <c r="W96" s="107"/>
      <c r="X96" s="107">
        <f t="shared" si="175"/>
        <v>6651.42</v>
      </c>
      <c r="Y96" s="140"/>
      <c r="Z96" s="107">
        <f>SUM(Z97:Z100)</f>
        <v>5653</v>
      </c>
    </row>
    <row r="97" s="4" customFormat="1" ht="18" customHeight="1" spans="1:26">
      <c r="A97" s="22"/>
      <c r="B97" s="22"/>
      <c r="C97" s="10" t="s">
        <v>58</v>
      </c>
      <c r="D97" s="140"/>
      <c r="E97" s="140"/>
      <c r="F97" s="140"/>
      <c r="G97" s="140"/>
      <c r="H97" s="107"/>
      <c r="I97" s="107"/>
      <c r="J97" s="107"/>
      <c r="K97" s="107"/>
      <c r="L97" s="120">
        <v>0.85</v>
      </c>
      <c r="M97" s="107"/>
      <c r="N97" s="145">
        <v>25</v>
      </c>
      <c r="O97" s="107"/>
      <c r="P97" s="22"/>
      <c r="Q97" s="107"/>
      <c r="R97" s="130">
        <f t="shared" ref="R97:R100" si="176">T97+U97+V97+W97</f>
        <v>25</v>
      </c>
      <c r="S97" s="119">
        <f t="shared" ref="S97:S100" si="177">M97+R97</f>
        <v>25</v>
      </c>
      <c r="T97" s="145">
        <v>25</v>
      </c>
      <c r="U97" s="107"/>
      <c r="V97" s="22"/>
      <c r="W97" s="107"/>
      <c r="X97" s="130">
        <f>SUM(H97:W97)</f>
        <v>100.85</v>
      </c>
      <c r="Y97" s="120">
        <v>0.85</v>
      </c>
      <c r="Z97" s="130">
        <f t="shared" ref="Z97:Z100" si="178">ROUND(X97*Y97,0)</f>
        <v>86</v>
      </c>
    </row>
    <row r="98" s="1" customFormat="1" ht="18" customHeight="1" spans="1:26">
      <c r="A98" s="10">
        <v>445321</v>
      </c>
      <c r="B98" s="10" t="s">
        <v>139</v>
      </c>
      <c r="C98" s="10" t="s">
        <v>141</v>
      </c>
      <c r="D98" s="87">
        <f>VLOOKUP(C98,[1]摸底数!B:D,3,0)</f>
        <v>271061</v>
      </c>
      <c r="E98" s="87">
        <v>15657</v>
      </c>
      <c r="F98" s="141">
        <f t="shared" ref="F98:F100" si="179">ROUND(D98*0.7-E98,0)</f>
        <v>174086</v>
      </c>
      <c r="G98" s="141">
        <f t="shared" ref="G98:G100" si="180">ROUND(F98*0.09,0)</f>
        <v>15668</v>
      </c>
      <c r="H98" s="142">
        <f t="shared" ref="H98:H100" si="181">F98*20/10000</f>
        <v>348.172</v>
      </c>
      <c r="I98" s="116">
        <f t="shared" ref="I98:I100" si="182">ROUND(F98*0.5*0.6*21/10000,2)</f>
        <v>109.67</v>
      </c>
      <c r="J98" s="116">
        <f t="shared" ref="J98:J100" si="183">G98*0.4*10/10000</f>
        <v>6.2672</v>
      </c>
      <c r="K98" s="116">
        <f t="shared" ref="K98:K100" si="184">H98+I98+J98</f>
        <v>464.1092</v>
      </c>
      <c r="L98" s="120">
        <v>0.85</v>
      </c>
      <c r="M98" s="116">
        <f t="shared" ref="M98:M100" si="185">ROUND(K98*L98,2)</f>
        <v>394.49</v>
      </c>
      <c r="N98" s="145">
        <v>25</v>
      </c>
      <c r="O98" s="116">
        <v>25</v>
      </c>
      <c r="P98" s="10">
        <v>10</v>
      </c>
      <c r="Q98" s="116"/>
      <c r="R98" s="130">
        <f t="shared" si="176"/>
        <v>60</v>
      </c>
      <c r="S98" s="119">
        <f t="shared" si="177"/>
        <v>454.49</v>
      </c>
      <c r="T98" s="145">
        <v>25</v>
      </c>
      <c r="U98" s="116">
        <v>25</v>
      </c>
      <c r="V98" s="10">
        <v>10</v>
      </c>
      <c r="W98" s="116"/>
      <c r="X98" s="130">
        <f>SUM(H98:W98)</f>
        <v>1958.0484</v>
      </c>
      <c r="Y98" s="120">
        <v>0.85</v>
      </c>
      <c r="Z98" s="130">
        <f t="shared" si="178"/>
        <v>1664</v>
      </c>
    </row>
    <row r="99" s="1" customFormat="1" ht="18" customHeight="1" spans="1:26">
      <c r="A99" s="10">
        <v>445322</v>
      </c>
      <c r="B99" s="10" t="s">
        <v>139</v>
      </c>
      <c r="C99" s="10" t="s">
        <v>142</v>
      </c>
      <c r="D99" s="87">
        <f>VLOOKUP(C99,[1]摸底数!B:D,3,0)</f>
        <v>217762</v>
      </c>
      <c r="E99" s="87">
        <v>16410</v>
      </c>
      <c r="F99" s="141">
        <f t="shared" si="179"/>
        <v>136023</v>
      </c>
      <c r="G99" s="141">
        <f t="shared" si="180"/>
        <v>12242</v>
      </c>
      <c r="H99" s="142">
        <f t="shared" si="181"/>
        <v>272.046</v>
      </c>
      <c r="I99" s="116">
        <f t="shared" si="182"/>
        <v>85.69</v>
      </c>
      <c r="J99" s="116">
        <f t="shared" si="183"/>
        <v>4.8968</v>
      </c>
      <c r="K99" s="116">
        <f t="shared" si="184"/>
        <v>362.6328</v>
      </c>
      <c r="L99" s="120">
        <v>0.85</v>
      </c>
      <c r="M99" s="116">
        <f t="shared" si="185"/>
        <v>308.24</v>
      </c>
      <c r="N99" s="145">
        <v>25</v>
      </c>
      <c r="O99" s="116">
        <v>25</v>
      </c>
      <c r="P99" s="10">
        <v>10</v>
      </c>
      <c r="Q99" s="116"/>
      <c r="R99" s="130">
        <f t="shared" si="176"/>
        <v>60</v>
      </c>
      <c r="S99" s="119">
        <f t="shared" si="177"/>
        <v>368.24</v>
      </c>
      <c r="T99" s="145">
        <v>25</v>
      </c>
      <c r="U99" s="116">
        <v>25</v>
      </c>
      <c r="V99" s="10">
        <v>10</v>
      </c>
      <c r="W99" s="116"/>
      <c r="X99" s="130">
        <f>SUM(H99:W99)</f>
        <v>1582.5956</v>
      </c>
      <c r="Y99" s="120">
        <v>0.85</v>
      </c>
      <c r="Z99" s="130">
        <f t="shared" si="178"/>
        <v>1345</v>
      </c>
    </row>
    <row r="100" s="1" customFormat="1" ht="18" customHeight="1" spans="1:26">
      <c r="A100" s="10">
        <v>445381</v>
      </c>
      <c r="B100" s="10" t="s">
        <v>139</v>
      </c>
      <c r="C100" s="10" t="s">
        <v>143</v>
      </c>
      <c r="D100" s="87">
        <f>VLOOKUP(C100,[1]摸底数!B:D,3,0)</f>
        <v>453273</v>
      </c>
      <c r="E100" s="87">
        <v>36570</v>
      </c>
      <c r="F100" s="141">
        <f t="shared" si="179"/>
        <v>280721</v>
      </c>
      <c r="G100" s="141">
        <f t="shared" si="180"/>
        <v>25265</v>
      </c>
      <c r="H100" s="142">
        <f t="shared" si="181"/>
        <v>561.442</v>
      </c>
      <c r="I100" s="116">
        <f t="shared" si="182"/>
        <v>176.85</v>
      </c>
      <c r="J100" s="116">
        <f t="shared" si="183"/>
        <v>10.106</v>
      </c>
      <c r="K100" s="116">
        <f t="shared" si="184"/>
        <v>748.398</v>
      </c>
      <c r="L100" s="120">
        <v>0.85</v>
      </c>
      <c r="M100" s="116">
        <f t="shared" si="185"/>
        <v>636.14</v>
      </c>
      <c r="N100" s="145">
        <v>25</v>
      </c>
      <c r="O100" s="116">
        <v>25</v>
      </c>
      <c r="P100" s="10">
        <v>10</v>
      </c>
      <c r="Q100" s="116"/>
      <c r="R100" s="130">
        <f t="shared" si="176"/>
        <v>60</v>
      </c>
      <c r="S100" s="119">
        <f t="shared" si="177"/>
        <v>696.14</v>
      </c>
      <c r="T100" s="145">
        <v>25</v>
      </c>
      <c r="U100" s="116">
        <v>25</v>
      </c>
      <c r="V100" s="10">
        <v>10</v>
      </c>
      <c r="W100" s="116"/>
      <c r="X100" s="130">
        <f>SUM(H100:W100)</f>
        <v>3009.926</v>
      </c>
      <c r="Y100" s="120">
        <v>0.85</v>
      </c>
      <c r="Z100" s="130">
        <f t="shared" si="178"/>
        <v>2558</v>
      </c>
    </row>
    <row r="101" s="1" customFormat="1" spans="4:26">
      <c r="D101" s="76"/>
      <c r="E101" s="76"/>
      <c r="F101" s="76"/>
      <c r="G101" s="76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76"/>
      <c r="Z101" s="104"/>
    </row>
    <row r="102" s="1" customFormat="1" ht="112" customHeight="1" spans="3:26">
      <c r="C102" s="111" t="s">
        <v>144</v>
      </c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2"/>
      <c r="U102" s="112"/>
      <c r="V102" s="112"/>
      <c r="W102" s="112"/>
      <c r="X102" s="112"/>
      <c r="Y102" s="113"/>
      <c r="Z102" s="112"/>
    </row>
    <row r="103" s="1" customFormat="1" ht="16" customHeight="1" spans="3:26">
      <c r="C103" s="113"/>
      <c r="D103" s="113"/>
      <c r="E103" s="113"/>
      <c r="F103" s="113"/>
      <c r="G103" s="113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3"/>
      <c r="Z103" s="112"/>
    </row>
    <row r="104" s="1" customFormat="1" ht="16" customHeight="1" spans="3:26">
      <c r="C104" s="113"/>
      <c r="D104" s="113"/>
      <c r="E104" s="113"/>
      <c r="F104" s="113"/>
      <c r="G104" s="113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3"/>
      <c r="Z104" s="112"/>
    </row>
    <row r="105" s="1" customFormat="1" ht="16" customHeight="1" spans="3:26">
      <c r="C105" s="113"/>
      <c r="D105" s="113"/>
      <c r="E105" s="113"/>
      <c r="F105" s="113"/>
      <c r="G105" s="113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3"/>
      <c r="Z105" s="112"/>
    </row>
    <row r="106" s="1" customFormat="1" ht="16" customHeight="1" spans="3:26">
      <c r="C106" s="113"/>
      <c r="D106" s="113"/>
      <c r="E106" s="113"/>
      <c r="F106" s="113"/>
      <c r="G106" s="113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3"/>
      <c r="Z106" s="112"/>
    </row>
    <row r="107" s="1" customFormat="1" ht="16" customHeight="1" spans="3:26">
      <c r="C107" s="113"/>
      <c r="D107" s="113"/>
      <c r="E107" s="113"/>
      <c r="F107" s="113"/>
      <c r="G107" s="113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3"/>
      <c r="Z107" s="112"/>
    </row>
    <row r="108" s="1" customFormat="1" ht="16" customHeight="1" spans="3:26">
      <c r="C108" s="113"/>
      <c r="D108" s="113"/>
      <c r="E108" s="113"/>
      <c r="F108" s="113"/>
      <c r="G108" s="113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3"/>
      <c r="Z108" s="112"/>
    </row>
    <row r="109" s="1" customFormat="1" ht="16" customHeight="1" spans="3:26">
      <c r="C109" s="113"/>
      <c r="D109" s="113"/>
      <c r="E109" s="113"/>
      <c r="F109" s="113"/>
      <c r="G109" s="113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3"/>
      <c r="Z109" s="112"/>
    </row>
    <row r="110" s="1" customFormat="1" spans="4:26">
      <c r="D110" s="76"/>
      <c r="E110" s="76"/>
      <c r="F110" s="76"/>
      <c r="G110" s="76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76"/>
      <c r="Z110" s="104"/>
    </row>
  </sheetData>
  <autoFilter ref="A4:XFD102">
    <extLst/>
  </autoFilter>
  <mergeCells count="6">
    <mergeCell ref="C1:S1"/>
    <mergeCell ref="D2:M2"/>
    <mergeCell ref="N2:R2"/>
    <mergeCell ref="C102:S102"/>
    <mergeCell ref="C2:C3"/>
    <mergeCell ref="S2:S3"/>
  </mergeCells>
  <pageMargins left="0.357638888888889" right="0.357638888888889" top="0.409027777777778" bottom="0.409027777777778" header="0.5" footer="0.5"/>
  <pageSetup paperSize="9" scale="61" fitToHeight="0" orientation="landscape" horizontalDpi="600"/>
  <headerFooter/>
  <ignoredErrors>
    <ignoredError sqref="Q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topLeftCell="C1" workbookViewId="0">
      <selection activeCell="J7" sqref="J7"/>
    </sheetView>
  </sheetViews>
  <sheetFormatPr defaultColWidth="9" defaultRowHeight="15"/>
  <cols>
    <col min="1" max="2" width="9" style="1" hidden="1" customWidth="1"/>
    <col min="3" max="3" width="20.875" style="1" customWidth="1"/>
    <col min="4" max="5" width="11.75" style="104" customWidth="1"/>
    <col min="6" max="6" width="13.5083333333333" style="104" customWidth="1"/>
    <col min="7" max="7" width="13.25" style="104" customWidth="1"/>
    <col min="8" max="8" width="12.25" style="104" hidden="1" customWidth="1"/>
    <col min="9" max="9" width="12.25" style="124" customWidth="1"/>
    <col min="10" max="11" width="12.25" style="104" customWidth="1"/>
    <col min="12" max="15" width="9.375" style="104" hidden="1" customWidth="1"/>
    <col min="16" max="16" width="12.25" style="104" hidden="1" customWidth="1"/>
    <col min="17" max="17" width="9.75" style="76" hidden="1" customWidth="1"/>
    <col min="18" max="18" width="12.625" style="104" hidden="1" customWidth="1"/>
    <col min="19" max="16372" width="9" style="90"/>
  </cols>
  <sheetData>
    <row r="1" s="1" customFormat="1" ht="29" customHeight="1" spans="3:18">
      <c r="C1" s="6" t="s">
        <v>0</v>
      </c>
      <c r="D1" s="6"/>
      <c r="E1" s="6"/>
      <c r="F1" s="6"/>
      <c r="G1" s="6"/>
      <c r="H1" s="6"/>
      <c r="I1" s="6"/>
      <c r="J1" s="6"/>
      <c r="K1" s="6"/>
      <c r="L1" s="131"/>
      <c r="M1" s="131"/>
      <c r="N1" s="131"/>
      <c r="O1" s="131"/>
      <c r="P1" s="131"/>
      <c r="Q1" s="138"/>
      <c r="R1" s="131"/>
    </row>
    <row r="2" s="1" customFormat="1" ht="29" customHeight="1" spans="3:20">
      <c r="C2" s="8" t="s">
        <v>1</v>
      </c>
      <c r="D2" s="42" t="s">
        <v>3</v>
      </c>
      <c r="E2" s="42"/>
      <c r="F2" s="42"/>
      <c r="G2" s="125"/>
      <c r="H2" s="8" t="s">
        <v>4</v>
      </c>
      <c r="I2" s="132" t="s">
        <v>145</v>
      </c>
      <c r="J2" s="132"/>
      <c r="K2" s="132"/>
      <c r="L2" s="131"/>
      <c r="M2" s="131"/>
      <c r="N2" s="131"/>
      <c r="O2" s="131"/>
      <c r="P2" s="131"/>
      <c r="Q2" s="131"/>
      <c r="R2" s="131"/>
      <c r="S2" s="131"/>
      <c r="T2" s="131"/>
    </row>
    <row r="3" s="1" customFormat="1" ht="50" customHeight="1" spans="1:18">
      <c r="A3" s="105" t="s">
        <v>5</v>
      </c>
      <c r="B3" s="105" t="s">
        <v>6</v>
      </c>
      <c r="C3" s="8"/>
      <c r="D3" s="126" t="s">
        <v>17</v>
      </c>
      <c r="E3" s="13" t="s">
        <v>18</v>
      </c>
      <c r="F3" s="13" t="s">
        <v>20</v>
      </c>
      <c r="G3" s="127" t="s">
        <v>21</v>
      </c>
      <c r="H3" s="8"/>
      <c r="I3" s="133" t="s">
        <v>146</v>
      </c>
      <c r="J3" s="134" t="s">
        <v>147</v>
      </c>
      <c r="K3" s="134" t="s">
        <v>148</v>
      </c>
      <c r="L3" s="135" t="s">
        <v>17</v>
      </c>
      <c r="M3" s="136" t="s">
        <v>18</v>
      </c>
      <c r="N3" s="136" t="s">
        <v>22</v>
      </c>
      <c r="O3" s="35" t="s">
        <v>20</v>
      </c>
      <c r="P3" s="35" t="s">
        <v>23</v>
      </c>
      <c r="Q3" s="35" t="s">
        <v>15</v>
      </c>
      <c r="R3" s="35" t="s">
        <v>24</v>
      </c>
    </row>
    <row r="4" s="2" customFormat="1" ht="18" customHeight="1" spans="1:18">
      <c r="A4" s="15"/>
      <c r="B4" s="15"/>
      <c r="C4" s="15" t="s">
        <v>48</v>
      </c>
      <c r="D4" s="128">
        <f>SUM(D5:D11)</f>
        <v>180</v>
      </c>
      <c r="E4" s="128">
        <f>SUM(E5:E11)</f>
        <v>400</v>
      </c>
      <c r="F4" s="128">
        <f t="shared" ref="F4:K4" si="0">SUM(F5:F11)</f>
        <v>99</v>
      </c>
      <c r="G4" s="128">
        <f t="shared" si="0"/>
        <v>679</v>
      </c>
      <c r="H4" s="128" t="e">
        <f t="shared" si="0"/>
        <v>#REF!</v>
      </c>
      <c r="I4" s="128">
        <f t="shared" si="0"/>
        <v>303</v>
      </c>
      <c r="J4" s="128">
        <f t="shared" si="0"/>
        <v>193</v>
      </c>
      <c r="K4" s="128">
        <f t="shared" si="0"/>
        <v>183</v>
      </c>
      <c r="L4" s="128">
        <f>SUM(L6:L11)</f>
        <v>120</v>
      </c>
      <c r="M4" s="119">
        <f>SUM(M6:M11)</f>
        <v>80</v>
      </c>
      <c r="N4" s="14"/>
      <c r="O4" s="119"/>
      <c r="P4" s="119" t="e">
        <f>SUM(P5:P11)</f>
        <v>#REF!</v>
      </c>
      <c r="Q4" s="139"/>
      <c r="R4" s="119" t="e">
        <f>SUM(R6:R11)</f>
        <v>#REF!</v>
      </c>
    </row>
    <row r="5" s="2" customFormat="1" ht="18" customHeight="1" spans="1:18">
      <c r="A5" s="15"/>
      <c r="B5" s="15"/>
      <c r="C5" s="18" t="s">
        <v>49</v>
      </c>
      <c r="D5" s="129"/>
      <c r="E5" s="130">
        <v>120</v>
      </c>
      <c r="F5" s="130"/>
      <c r="G5" s="130">
        <f t="shared" ref="G5:G11" si="1">SUM(D5:F5)</f>
        <v>120</v>
      </c>
      <c r="H5" s="130" t="e">
        <f>#REF!+G5</f>
        <v>#REF!</v>
      </c>
      <c r="I5" s="130">
        <f>50</f>
        <v>50</v>
      </c>
      <c r="J5" s="130">
        <f>40</f>
        <v>40</v>
      </c>
      <c r="K5" s="130">
        <f>30</f>
        <v>30</v>
      </c>
      <c r="L5" s="128"/>
      <c r="M5" s="119"/>
      <c r="N5" s="19">
        <v>39.61</v>
      </c>
      <c r="O5" s="119"/>
      <c r="P5" s="119"/>
      <c r="Q5" s="139"/>
      <c r="R5" s="119"/>
    </row>
    <row r="6" s="3" customFormat="1" ht="18" customHeight="1" spans="1:19">
      <c r="A6" s="18"/>
      <c r="B6" s="18"/>
      <c r="C6" s="18" t="s">
        <v>50</v>
      </c>
      <c r="D6" s="129">
        <v>100</v>
      </c>
      <c r="E6" s="130"/>
      <c r="F6" s="130"/>
      <c r="G6" s="130">
        <f t="shared" si="1"/>
        <v>100</v>
      </c>
      <c r="H6" s="119" t="e">
        <f>#REF!+G6</f>
        <v>#REF!</v>
      </c>
      <c r="I6" s="130">
        <v>50</v>
      </c>
      <c r="J6" s="130">
        <v>20</v>
      </c>
      <c r="K6" s="130">
        <v>30</v>
      </c>
      <c r="L6" s="129">
        <v>60</v>
      </c>
      <c r="M6" s="130">
        <v>20</v>
      </c>
      <c r="N6" s="19"/>
      <c r="O6" s="130"/>
      <c r="P6" s="130" t="e">
        <f>SUM(D6:O6)</f>
        <v>#REF!</v>
      </c>
      <c r="Q6" s="120">
        <v>1</v>
      </c>
      <c r="R6" s="130" t="e">
        <f>ROUND(P6*Q6,0)</f>
        <v>#REF!</v>
      </c>
      <c r="S6" s="2"/>
    </row>
    <row r="7" s="3" customFormat="1" ht="18" customHeight="1" spans="1:19">
      <c r="A7" s="18"/>
      <c r="B7" s="18"/>
      <c r="C7" s="18" t="s">
        <v>51</v>
      </c>
      <c r="D7" s="129"/>
      <c r="E7" s="130">
        <v>160</v>
      </c>
      <c r="F7" s="130">
        <v>99</v>
      </c>
      <c r="G7" s="130">
        <f t="shared" si="1"/>
        <v>259</v>
      </c>
      <c r="H7" s="119" t="e">
        <f>#REF!+G7</f>
        <v>#REF!</v>
      </c>
      <c r="I7" s="130">
        <f>50+39</f>
        <v>89</v>
      </c>
      <c r="J7" s="130">
        <f>60+30</f>
        <v>90</v>
      </c>
      <c r="K7" s="130">
        <f>50+30</f>
        <v>80</v>
      </c>
      <c r="L7" s="129"/>
      <c r="M7" s="130"/>
      <c r="N7" s="19"/>
      <c r="O7" s="130">
        <v>129</v>
      </c>
      <c r="P7" s="130" t="e">
        <f>SUM(D7:O7)</f>
        <v>#REF!</v>
      </c>
      <c r="Q7" s="120">
        <v>1</v>
      </c>
      <c r="R7" s="130" t="e">
        <f>ROUND(P7*Q7,0)</f>
        <v>#REF!</v>
      </c>
      <c r="S7" s="2"/>
    </row>
    <row r="8" s="3" customFormat="1" ht="18" customHeight="1" spans="1:19">
      <c r="A8" s="18"/>
      <c r="B8" s="18"/>
      <c r="C8" s="18" t="s">
        <v>149</v>
      </c>
      <c r="D8" s="129">
        <v>20</v>
      </c>
      <c r="E8" s="130"/>
      <c r="F8" s="130"/>
      <c r="G8" s="130">
        <f t="shared" si="1"/>
        <v>20</v>
      </c>
      <c r="H8" s="119"/>
      <c r="I8" s="130">
        <v>14</v>
      </c>
      <c r="J8" s="130">
        <v>3</v>
      </c>
      <c r="K8" s="130">
        <v>3</v>
      </c>
      <c r="L8" s="129"/>
      <c r="M8" s="130"/>
      <c r="N8" s="19"/>
      <c r="O8" s="130"/>
      <c r="P8" s="130"/>
      <c r="Q8" s="120"/>
      <c r="R8" s="130"/>
      <c r="S8" s="2"/>
    </row>
    <row r="9" s="3" customFormat="1" ht="18" customHeight="1" spans="1:19">
      <c r="A9" s="18"/>
      <c r="B9" s="18"/>
      <c r="C9" s="18" t="s">
        <v>52</v>
      </c>
      <c r="D9" s="129">
        <v>60</v>
      </c>
      <c r="E9" s="130">
        <v>20</v>
      </c>
      <c r="F9" s="130"/>
      <c r="G9" s="130">
        <f t="shared" si="1"/>
        <v>80</v>
      </c>
      <c r="H9" s="119" t="e">
        <f>#REF!+G9</f>
        <v>#REF!</v>
      </c>
      <c r="I9" s="130">
        <v>40</v>
      </c>
      <c r="J9" s="130">
        <v>20</v>
      </c>
      <c r="K9" s="130">
        <v>20</v>
      </c>
      <c r="L9" s="129">
        <v>60</v>
      </c>
      <c r="M9" s="130">
        <v>20</v>
      </c>
      <c r="N9" s="19"/>
      <c r="O9" s="130"/>
      <c r="P9" s="130" t="e">
        <f>SUM(D9:O9)</f>
        <v>#REF!</v>
      </c>
      <c r="Q9" s="120">
        <v>1</v>
      </c>
      <c r="R9" s="130" t="e">
        <f>ROUND(P9*Q9,0)</f>
        <v>#REF!</v>
      </c>
      <c r="S9" s="2"/>
    </row>
    <row r="10" s="3" customFormat="1" ht="18" customHeight="1" spans="1:19">
      <c r="A10" s="18"/>
      <c r="B10" s="18"/>
      <c r="C10" s="18" t="s">
        <v>53</v>
      </c>
      <c r="D10" s="129"/>
      <c r="E10" s="130">
        <v>50</v>
      </c>
      <c r="F10" s="130"/>
      <c r="G10" s="130">
        <f t="shared" si="1"/>
        <v>50</v>
      </c>
      <c r="H10" s="119" t="e">
        <f>#REF!+G10</f>
        <v>#REF!</v>
      </c>
      <c r="I10" s="130">
        <v>30</v>
      </c>
      <c r="J10" s="130">
        <v>10</v>
      </c>
      <c r="K10" s="130">
        <v>10</v>
      </c>
      <c r="L10" s="129"/>
      <c r="M10" s="130">
        <v>20</v>
      </c>
      <c r="N10" s="19"/>
      <c r="O10" s="130"/>
      <c r="P10" s="130" t="e">
        <f>SUM(D10:O10)</f>
        <v>#REF!</v>
      </c>
      <c r="Q10" s="120">
        <v>1</v>
      </c>
      <c r="R10" s="130" t="e">
        <f>ROUND(P10*Q10,0)</f>
        <v>#REF!</v>
      </c>
      <c r="S10" s="2"/>
    </row>
    <row r="11" s="3" customFormat="1" ht="18" customHeight="1" spans="1:19">
      <c r="A11" s="18"/>
      <c r="B11" s="18"/>
      <c r="C11" s="18" t="s">
        <v>54</v>
      </c>
      <c r="D11" s="129"/>
      <c r="E11" s="130">
        <v>50</v>
      </c>
      <c r="F11" s="130"/>
      <c r="G11" s="130">
        <f t="shared" si="1"/>
        <v>50</v>
      </c>
      <c r="H11" s="119" t="e">
        <f>#REF!+G11</f>
        <v>#REF!</v>
      </c>
      <c r="I11" s="130">
        <v>30</v>
      </c>
      <c r="J11" s="130">
        <v>10</v>
      </c>
      <c r="K11" s="130">
        <v>10</v>
      </c>
      <c r="L11" s="129"/>
      <c r="M11" s="130">
        <v>20</v>
      </c>
      <c r="N11" s="19"/>
      <c r="O11" s="130"/>
      <c r="P11" s="130" t="e">
        <f>SUM(D11:O11)</f>
        <v>#REF!</v>
      </c>
      <c r="Q11" s="120">
        <v>1</v>
      </c>
      <c r="R11" s="130" t="e">
        <f>ROUND(P11*Q11,0)</f>
        <v>#REF!</v>
      </c>
      <c r="S11" s="2"/>
    </row>
    <row r="12" s="1" customFormat="1" ht="16" customHeight="1" spans="3:18">
      <c r="C12" s="113"/>
      <c r="D12" s="112"/>
      <c r="E12" s="112"/>
      <c r="F12" s="112"/>
      <c r="G12" s="112"/>
      <c r="H12" s="112"/>
      <c r="I12" s="137"/>
      <c r="J12" s="112"/>
      <c r="K12" s="112"/>
      <c r="L12" s="112"/>
      <c r="M12" s="112"/>
      <c r="N12" s="112"/>
      <c r="O12" s="112"/>
      <c r="P12" s="112"/>
      <c r="Q12" s="113"/>
      <c r="R12" s="112"/>
    </row>
    <row r="13" s="1" customFormat="1" ht="16" customHeight="1" spans="3:18">
      <c r="C13" s="113"/>
      <c r="D13" s="112"/>
      <c r="E13" s="112"/>
      <c r="F13" s="112"/>
      <c r="G13" s="112"/>
      <c r="H13" s="112"/>
      <c r="I13" s="137"/>
      <c r="J13" s="112"/>
      <c r="K13" s="112"/>
      <c r="L13" s="112"/>
      <c r="M13" s="112"/>
      <c r="N13" s="112"/>
      <c r="O13" s="112"/>
      <c r="P13" s="112"/>
      <c r="Q13" s="113"/>
      <c r="R13" s="112"/>
    </row>
    <row r="14" s="1" customFormat="1" ht="16" customHeight="1" spans="3:18">
      <c r="C14" s="113"/>
      <c r="D14" s="112"/>
      <c r="E14" s="112"/>
      <c r="F14" s="112"/>
      <c r="G14" s="112"/>
      <c r="H14" s="112"/>
      <c r="I14" s="137"/>
      <c r="J14" s="112"/>
      <c r="K14" s="112"/>
      <c r="L14" s="112"/>
      <c r="M14" s="112"/>
      <c r="N14" s="112"/>
      <c r="O14" s="112"/>
      <c r="P14" s="112"/>
      <c r="Q14" s="113"/>
      <c r="R14" s="112"/>
    </row>
    <row r="15" s="1" customFormat="1" ht="16" customHeight="1" spans="3:18">
      <c r="C15" s="113"/>
      <c r="D15" s="112"/>
      <c r="E15" s="112"/>
      <c r="F15" s="112"/>
      <c r="G15" s="112"/>
      <c r="H15" s="112"/>
      <c r="I15" s="137"/>
      <c r="J15" s="112"/>
      <c r="K15" s="112"/>
      <c r="L15" s="112"/>
      <c r="M15" s="112"/>
      <c r="N15" s="112"/>
      <c r="O15" s="112"/>
      <c r="P15" s="112"/>
      <c r="Q15" s="113"/>
      <c r="R15" s="112"/>
    </row>
    <row r="16" s="1" customFormat="1" ht="16" customHeight="1" spans="3:18">
      <c r="C16" s="113"/>
      <c r="D16" s="112"/>
      <c r="E16" s="112"/>
      <c r="F16" s="112"/>
      <c r="G16" s="112"/>
      <c r="H16" s="112"/>
      <c r="I16" s="137"/>
      <c r="J16" s="112"/>
      <c r="K16" s="112"/>
      <c r="L16" s="112"/>
      <c r="M16" s="112"/>
      <c r="N16" s="112"/>
      <c r="O16" s="112"/>
      <c r="P16" s="112"/>
      <c r="Q16" s="113"/>
      <c r="R16" s="112"/>
    </row>
    <row r="17" s="1" customFormat="1" ht="16" customHeight="1" spans="3:18">
      <c r="C17" s="113"/>
      <c r="D17" s="112"/>
      <c r="E17" s="112"/>
      <c r="F17" s="112"/>
      <c r="G17" s="112"/>
      <c r="H17" s="112"/>
      <c r="I17" s="137"/>
      <c r="J17" s="112"/>
      <c r="K17" s="112"/>
      <c r="L17" s="112"/>
      <c r="M17" s="112"/>
      <c r="N17" s="112"/>
      <c r="O17" s="112"/>
      <c r="P17" s="112"/>
      <c r="Q17" s="113"/>
      <c r="R17" s="112"/>
    </row>
    <row r="18" s="1" customFormat="1" ht="16" customHeight="1" spans="3:18">
      <c r="C18" s="113"/>
      <c r="D18" s="112"/>
      <c r="E18" s="112"/>
      <c r="F18" s="112"/>
      <c r="G18" s="112"/>
      <c r="H18" s="112"/>
      <c r="I18" s="137"/>
      <c r="J18" s="112"/>
      <c r="K18" s="112"/>
      <c r="L18" s="112"/>
      <c r="M18" s="112"/>
      <c r="N18" s="112"/>
      <c r="O18" s="112"/>
      <c r="P18" s="112"/>
      <c r="Q18" s="113"/>
      <c r="R18" s="112"/>
    </row>
    <row r="19" s="1" customFormat="1" spans="4:18">
      <c r="D19" s="104"/>
      <c r="E19" s="104"/>
      <c r="F19" s="104"/>
      <c r="G19" s="104"/>
      <c r="H19" s="104"/>
      <c r="I19" s="124"/>
      <c r="J19" s="104"/>
      <c r="K19" s="104"/>
      <c r="L19" s="104"/>
      <c r="M19" s="104"/>
      <c r="N19" s="104"/>
      <c r="O19" s="104"/>
      <c r="P19" s="104"/>
      <c r="Q19" s="76"/>
      <c r="R19" s="104"/>
    </row>
  </sheetData>
  <mergeCells count="5">
    <mergeCell ref="C1:K1"/>
    <mergeCell ref="D2:G2"/>
    <mergeCell ref="I2:K2"/>
    <mergeCell ref="C2:C3"/>
    <mergeCell ref="H2:H3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0"/>
  <sheetViews>
    <sheetView topLeftCell="I1" workbookViewId="0">
      <selection activeCell="Q12" sqref="Q12"/>
    </sheetView>
  </sheetViews>
  <sheetFormatPr defaultColWidth="9" defaultRowHeight="15"/>
  <cols>
    <col min="1" max="1" width="9" style="1" hidden="1" customWidth="1"/>
    <col min="2" max="2" width="9.50833333333333" style="1" hidden="1" customWidth="1"/>
    <col min="3" max="3" width="9.25" style="104" hidden="1" customWidth="1"/>
    <col min="4" max="4" width="20.875" style="1" customWidth="1"/>
    <col min="5" max="5" width="9.25833333333333" style="76" customWidth="1"/>
    <col min="6" max="6" width="11.75" style="76" customWidth="1"/>
    <col min="7" max="7" width="13.5083333333333" style="76" customWidth="1"/>
    <col min="8" max="8" width="13.875" style="76" customWidth="1"/>
    <col min="9" max="9" width="14.375" style="104" customWidth="1"/>
    <col min="10" max="11" width="16.875" style="104" customWidth="1"/>
    <col min="12" max="13" width="13.25" style="104" customWidth="1"/>
    <col min="14" max="14" width="12.25" style="104" customWidth="1"/>
    <col min="15" max="17" width="11.625" style="90" customWidth="1"/>
    <col min="19" max="19" width="9.375"/>
  </cols>
  <sheetData>
    <row r="1" s="1" customFormat="1" ht="29" customHeight="1" spans="3:17">
      <c r="C1" s="6"/>
      <c r="D1" s="6" t="s">
        <v>0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50" customHeight="1" spans="1:17">
      <c r="A2" s="105" t="s">
        <v>5</v>
      </c>
      <c r="B2" s="105" t="s">
        <v>6</v>
      </c>
      <c r="C2" s="13" t="s">
        <v>15</v>
      </c>
      <c r="D2" s="8" t="s">
        <v>1</v>
      </c>
      <c r="E2" s="8" t="s">
        <v>7</v>
      </c>
      <c r="F2" s="8" t="s">
        <v>8</v>
      </c>
      <c r="G2" s="8" t="s">
        <v>9</v>
      </c>
      <c r="H2" s="8" t="s">
        <v>150</v>
      </c>
      <c r="I2" s="13" t="s">
        <v>151</v>
      </c>
      <c r="J2" s="13" t="s">
        <v>12</v>
      </c>
      <c r="K2" s="13" t="s">
        <v>13</v>
      </c>
      <c r="L2" s="13" t="s">
        <v>152</v>
      </c>
      <c r="M2" s="13" t="s">
        <v>153</v>
      </c>
      <c r="N2" s="8" t="s">
        <v>154</v>
      </c>
      <c r="O2" s="8"/>
      <c r="P2" s="8"/>
      <c r="Q2" s="8"/>
    </row>
    <row r="3" s="75" customFormat="1" ht="43" customHeight="1" spans="1:17">
      <c r="A3" s="106"/>
      <c r="B3" s="106"/>
      <c r="C3" s="13" t="s">
        <v>34</v>
      </c>
      <c r="D3" s="8" t="s">
        <v>25</v>
      </c>
      <c r="E3" s="8" t="s">
        <v>26</v>
      </c>
      <c r="F3" s="8" t="s">
        <v>27</v>
      </c>
      <c r="G3" s="8" t="s">
        <v>28</v>
      </c>
      <c r="H3" s="8" t="s">
        <v>29</v>
      </c>
      <c r="I3" s="13" t="s">
        <v>30</v>
      </c>
      <c r="J3" s="13" t="s">
        <v>31</v>
      </c>
      <c r="K3" s="13" t="s">
        <v>155</v>
      </c>
      <c r="L3" s="13" t="s">
        <v>43</v>
      </c>
      <c r="M3" s="13" t="s">
        <v>156</v>
      </c>
      <c r="N3" s="13" t="s">
        <v>157</v>
      </c>
      <c r="O3" s="42" t="s">
        <v>146</v>
      </c>
      <c r="P3" s="42" t="s">
        <v>158</v>
      </c>
      <c r="Q3" s="42" t="s">
        <v>159</v>
      </c>
    </row>
    <row r="4" s="2" customFormat="1" ht="18" customHeight="1" spans="1:19">
      <c r="A4" s="15"/>
      <c r="B4" s="15"/>
      <c r="C4" s="119"/>
      <c r="D4" s="16" t="s">
        <v>47</v>
      </c>
      <c r="E4" s="40">
        <f t="shared" ref="E4:Q4" si="0">E5+E13</f>
        <v>20974449</v>
      </c>
      <c r="F4" s="40">
        <f t="shared" si="0"/>
        <v>943721</v>
      </c>
      <c r="G4" s="40">
        <f t="shared" si="0"/>
        <v>13638395</v>
      </c>
      <c r="H4" s="40">
        <f t="shared" si="0"/>
        <v>1227455</v>
      </c>
      <c r="I4" s="41">
        <f t="shared" si="0"/>
        <v>27276.79</v>
      </c>
      <c r="J4" s="41">
        <f t="shared" si="0"/>
        <v>8592.18</v>
      </c>
      <c r="K4" s="41">
        <f t="shared" si="0"/>
        <v>868.45</v>
      </c>
      <c r="L4" s="41">
        <f t="shared" si="0"/>
        <v>4474</v>
      </c>
      <c r="M4" s="41">
        <f t="shared" si="0"/>
        <v>41211.42</v>
      </c>
      <c r="N4" s="41">
        <f t="shared" si="0"/>
        <v>27955.79</v>
      </c>
      <c r="O4" s="41">
        <f t="shared" si="0"/>
        <v>4228.26</v>
      </c>
      <c r="P4" s="41">
        <f t="shared" si="0"/>
        <v>8043.54</v>
      </c>
      <c r="Q4" s="41">
        <f t="shared" si="0"/>
        <v>15683.99</v>
      </c>
      <c r="S4" s="2">
        <f>M4-N4</f>
        <v>13255.63</v>
      </c>
    </row>
    <row r="5" s="2" customFormat="1" ht="18" customHeight="1" spans="1:17">
      <c r="A5" s="15"/>
      <c r="B5" s="15"/>
      <c r="C5" s="40"/>
      <c r="D5" s="15" t="s">
        <v>48</v>
      </c>
      <c r="E5" s="40"/>
      <c r="F5" s="40"/>
      <c r="G5" s="40"/>
      <c r="H5" s="40"/>
      <c r="I5" s="41"/>
      <c r="J5" s="41"/>
      <c r="K5" s="41"/>
      <c r="L5" s="41">
        <f t="shared" ref="L5:Q5" si="1">SUM(L6:L12)</f>
        <v>679</v>
      </c>
      <c r="M5" s="41">
        <f t="shared" si="1"/>
        <v>679</v>
      </c>
      <c r="N5" s="41">
        <f t="shared" si="1"/>
        <v>679</v>
      </c>
      <c r="O5" s="41">
        <f t="shared" si="1"/>
        <v>303</v>
      </c>
      <c r="P5" s="41">
        <f t="shared" si="1"/>
        <v>193</v>
      </c>
      <c r="Q5" s="41">
        <f t="shared" si="1"/>
        <v>183</v>
      </c>
    </row>
    <row r="6" s="2" customFormat="1" ht="18" customHeight="1" spans="1:17">
      <c r="A6" s="15"/>
      <c r="B6" s="15"/>
      <c r="C6" s="120">
        <v>1</v>
      </c>
      <c r="D6" s="18" t="s">
        <v>49</v>
      </c>
      <c r="E6" s="40"/>
      <c r="F6" s="40"/>
      <c r="G6" s="40"/>
      <c r="H6" s="40"/>
      <c r="I6" s="41"/>
      <c r="J6" s="41"/>
      <c r="K6" s="41"/>
      <c r="L6" s="118">
        <v>120</v>
      </c>
      <c r="M6" s="118">
        <f t="shared" ref="M6:M12" si="2">SUM(I6:L6)</f>
        <v>120</v>
      </c>
      <c r="N6" s="41">
        <f t="shared" ref="N6:N12" si="3">L6</f>
        <v>120</v>
      </c>
      <c r="O6" s="118">
        <v>50</v>
      </c>
      <c r="P6" s="118">
        <v>40</v>
      </c>
      <c r="Q6" s="118">
        <v>30</v>
      </c>
    </row>
    <row r="7" s="3" customFormat="1" ht="18" customHeight="1" spans="1:17">
      <c r="A7" s="18"/>
      <c r="B7" s="18"/>
      <c r="C7" s="120">
        <v>1</v>
      </c>
      <c r="D7" s="18" t="s">
        <v>50</v>
      </c>
      <c r="E7" s="121"/>
      <c r="F7" s="121"/>
      <c r="G7" s="121"/>
      <c r="H7" s="121"/>
      <c r="I7" s="118"/>
      <c r="J7" s="118"/>
      <c r="K7" s="118"/>
      <c r="L7" s="118">
        <v>100</v>
      </c>
      <c r="M7" s="118">
        <f t="shared" si="2"/>
        <v>100</v>
      </c>
      <c r="N7" s="41">
        <f t="shared" si="3"/>
        <v>100</v>
      </c>
      <c r="O7" s="118">
        <v>50</v>
      </c>
      <c r="P7" s="118">
        <v>20</v>
      </c>
      <c r="Q7" s="118">
        <v>30</v>
      </c>
    </row>
    <row r="8" s="3" customFormat="1" ht="18" customHeight="1" spans="1:17">
      <c r="A8" s="18"/>
      <c r="B8" s="18"/>
      <c r="C8" s="120">
        <v>1</v>
      </c>
      <c r="D8" s="18" t="s">
        <v>51</v>
      </c>
      <c r="E8" s="121"/>
      <c r="F8" s="121"/>
      <c r="G8" s="121"/>
      <c r="H8" s="121"/>
      <c r="I8" s="118"/>
      <c r="J8" s="118"/>
      <c r="K8" s="118"/>
      <c r="L8" s="118">
        <v>259</v>
      </c>
      <c r="M8" s="118">
        <f t="shared" si="2"/>
        <v>259</v>
      </c>
      <c r="N8" s="41">
        <f t="shared" si="3"/>
        <v>259</v>
      </c>
      <c r="O8" s="118">
        <v>89</v>
      </c>
      <c r="P8" s="118">
        <v>90</v>
      </c>
      <c r="Q8" s="118">
        <v>80</v>
      </c>
    </row>
    <row r="9" s="3" customFormat="1" ht="18" customHeight="1" spans="1:17">
      <c r="A9" s="18"/>
      <c r="B9" s="18"/>
      <c r="C9" s="120"/>
      <c r="D9" s="18" t="s">
        <v>149</v>
      </c>
      <c r="E9" s="121"/>
      <c r="F9" s="121"/>
      <c r="G9" s="121"/>
      <c r="H9" s="121"/>
      <c r="I9" s="118"/>
      <c r="J9" s="118"/>
      <c r="K9" s="118"/>
      <c r="L9" s="118">
        <v>20</v>
      </c>
      <c r="M9" s="118">
        <f t="shared" si="2"/>
        <v>20</v>
      </c>
      <c r="N9" s="41">
        <f t="shared" si="3"/>
        <v>20</v>
      </c>
      <c r="O9" s="118">
        <v>14</v>
      </c>
      <c r="P9" s="118">
        <v>3</v>
      </c>
      <c r="Q9" s="118">
        <v>3</v>
      </c>
    </row>
    <row r="10" s="3" customFormat="1" ht="18" customHeight="1" spans="1:17">
      <c r="A10" s="18"/>
      <c r="B10" s="18"/>
      <c r="C10" s="120">
        <v>1</v>
      </c>
      <c r="D10" s="18" t="s">
        <v>52</v>
      </c>
      <c r="E10" s="121"/>
      <c r="F10" s="121"/>
      <c r="G10" s="121"/>
      <c r="H10" s="121"/>
      <c r="I10" s="118"/>
      <c r="J10" s="118"/>
      <c r="K10" s="118"/>
      <c r="L10" s="118">
        <v>80</v>
      </c>
      <c r="M10" s="118">
        <f t="shared" si="2"/>
        <v>80</v>
      </c>
      <c r="N10" s="41">
        <f t="shared" si="3"/>
        <v>80</v>
      </c>
      <c r="O10" s="118">
        <v>40</v>
      </c>
      <c r="P10" s="118">
        <v>20</v>
      </c>
      <c r="Q10" s="118">
        <v>20</v>
      </c>
    </row>
    <row r="11" s="3" customFormat="1" ht="18" customHeight="1" spans="1:17">
      <c r="A11" s="18"/>
      <c r="B11" s="18"/>
      <c r="C11" s="120">
        <v>1</v>
      </c>
      <c r="D11" s="18" t="s">
        <v>53</v>
      </c>
      <c r="E11" s="121"/>
      <c r="F11" s="121"/>
      <c r="G11" s="121"/>
      <c r="H11" s="121"/>
      <c r="I11" s="118"/>
      <c r="J11" s="118"/>
      <c r="K11" s="118"/>
      <c r="L11" s="118">
        <v>50</v>
      </c>
      <c r="M11" s="118">
        <f t="shared" si="2"/>
        <v>50</v>
      </c>
      <c r="N11" s="41">
        <f t="shared" si="3"/>
        <v>50</v>
      </c>
      <c r="O11" s="118">
        <v>30</v>
      </c>
      <c r="P11" s="118">
        <v>10</v>
      </c>
      <c r="Q11" s="118">
        <v>10</v>
      </c>
    </row>
    <row r="12" s="3" customFormat="1" ht="18" customHeight="1" spans="1:17">
      <c r="A12" s="18"/>
      <c r="B12" s="18"/>
      <c r="C12" s="120">
        <v>1</v>
      </c>
      <c r="D12" s="18" t="s">
        <v>54</v>
      </c>
      <c r="E12" s="121"/>
      <c r="F12" s="121"/>
      <c r="G12" s="121"/>
      <c r="H12" s="121"/>
      <c r="I12" s="118"/>
      <c r="J12" s="118"/>
      <c r="K12" s="118"/>
      <c r="L12" s="118">
        <v>50</v>
      </c>
      <c r="M12" s="118">
        <f t="shared" si="2"/>
        <v>50</v>
      </c>
      <c r="N12" s="41">
        <f t="shared" si="3"/>
        <v>50</v>
      </c>
      <c r="O12" s="118">
        <v>30</v>
      </c>
      <c r="P12" s="118">
        <v>10</v>
      </c>
      <c r="Q12" s="118">
        <v>10</v>
      </c>
    </row>
    <row r="13" s="2" customFormat="1" ht="18" customHeight="1" spans="1:17">
      <c r="A13" s="15"/>
      <c r="B13" s="15"/>
      <c r="C13" s="107"/>
      <c r="D13" s="15" t="s">
        <v>55</v>
      </c>
      <c r="E13" s="108">
        <f t="shared" ref="E13:Q13" si="4">E14+E23+E26+E32+E39+E44+E51+E56+E64+E69+E76+E88+E91+E96+E80</f>
        <v>20974449</v>
      </c>
      <c r="F13" s="108">
        <f t="shared" si="4"/>
        <v>943721</v>
      </c>
      <c r="G13" s="108">
        <f t="shared" si="4"/>
        <v>13638395</v>
      </c>
      <c r="H13" s="108">
        <f t="shared" si="4"/>
        <v>1227455</v>
      </c>
      <c r="I13" s="114">
        <f t="shared" si="4"/>
        <v>27276.79</v>
      </c>
      <c r="J13" s="107">
        <f t="shared" si="4"/>
        <v>8592.18</v>
      </c>
      <c r="K13" s="114">
        <f t="shared" si="4"/>
        <v>868.45</v>
      </c>
      <c r="L13" s="114">
        <f t="shared" si="4"/>
        <v>3795</v>
      </c>
      <c r="M13" s="114">
        <f t="shared" si="4"/>
        <v>40532.42</v>
      </c>
      <c r="N13" s="114">
        <f t="shared" si="4"/>
        <v>27276.79</v>
      </c>
      <c r="O13" s="114">
        <f t="shared" si="4"/>
        <v>3925.26</v>
      </c>
      <c r="P13" s="114">
        <f t="shared" si="4"/>
        <v>7850.54</v>
      </c>
      <c r="Q13" s="114">
        <f t="shared" si="4"/>
        <v>15500.99</v>
      </c>
    </row>
    <row r="14" s="4" customFormat="1" ht="18" customHeight="1" spans="1:17">
      <c r="A14" s="22">
        <v>440200</v>
      </c>
      <c r="B14" s="22" t="s">
        <v>56</v>
      </c>
      <c r="C14" s="107"/>
      <c r="D14" s="23" t="s">
        <v>57</v>
      </c>
      <c r="E14" s="108">
        <f t="shared" ref="E14:Q14" si="5">SUM(E15:E22)</f>
        <v>1074160</v>
      </c>
      <c r="F14" s="108">
        <f t="shared" si="5"/>
        <v>49420</v>
      </c>
      <c r="G14" s="108">
        <f t="shared" si="5"/>
        <v>702493</v>
      </c>
      <c r="H14" s="108">
        <f t="shared" si="5"/>
        <v>63223</v>
      </c>
      <c r="I14" s="114">
        <f t="shared" si="5"/>
        <v>1404.99</v>
      </c>
      <c r="J14" s="107">
        <f t="shared" si="5"/>
        <v>442.57</v>
      </c>
      <c r="K14" s="114">
        <f t="shared" si="5"/>
        <v>45.05</v>
      </c>
      <c r="L14" s="114">
        <f t="shared" si="5"/>
        <v>445</v>
      </c>
      <c r="M14" s="114">
        <f t="shared" si="5"/>
        <v>2337.61</v>
      </c>
      <c r="N14" s="114">
        <f t="shared" si="5"/>
        <v>1404.99</v>
      </c>
      <c r="O14" s="114">
        <f t="shared" si="5"/>
        <v>200.71</v>
      </c>
      <c r="P14" s="114">
        <f t="shared" si="5"/>
        <v>401.42</v>
      </c>
      <c r="Q14" s="114">
        <f t="shared" si="5"/>
        <v>802.86</v>
      </c>
    </row>
    <row r="15" s="4" customFormat="1" ht="18" customHeight="1" spans="1:17">
      <c r="A15" s="22"/>
      <c r="B15" s="22"/>
      <c r="C15" s="120">
        <v>0.85</v>
      </c>
      <c r="D15" s="10" t="s">
        <v>58</v>
      </c>
      <c r="E15" s="108"/>
      <c r="F15" s="108"/>
      <c r="G15" s="108"/>
      <c r="H15" s="108"/>
      <c r="I15" s="114"/>
      <c r="J15" s="116">
        <v>0</v>
      </c>
      <c r="K15" s="117">
        <v>0</v>
      </c>
      <c r="L15" s="118">
        <v>25</v>
      </c>
      <c r="M15" s="118">
        <f t="shared" ref="M15:M22" si="6">SUM(I15:L15)</f>
        <v>25</v>
      </c>
      <c r="N15" s="41">
        <f t="shared" ref="N15:N22" si="7">I15</f>
        <v>0</v>
      </c>
      <c r="O15" s="114">
        <v>0</v>
      </c>
      <c r="P15" s="114">
        <v>0</v>
      </c>
      <c r="Q15" s="114">
        <v>0</v>
      </c>
    </row>
    <row r="16" s="1" customFormat="1" ht="18" customHeight="1" spans="1:17">
      <c r="A16" s="10">
        <v>440222</v>
      </c>
      <c r="B16" s="10" t="s">
        <v>56</v>
      </c>
      <c r="C16" s="120">
        <v>0.85</v>
      </c>
      <c r="D16" s="10" t="s">
        <v>59</v>
      </c>
      <c r="E16" s="46">
        <v>122510</v>
      </c>
      <c r="F16" s="46">
        <v>4598</v>
      </c>
      <c r="G16" s="110">
        <f t="shared" ref="G16:G22" si="8">ROUND(E16*0.7-F16,0)</f>
        <v>81159</v>
      </c>
      <c r="H16" s="110">
        <f t="shared" ref="H16:H22" si="9">ROUND(G16*0.09,0)</f>
        <v>7304</v>
      </c>
      <c r="I16" s="115">
        <f t="shared" ref="I16:I22" si="10">ROUND(G16*20/10000,2)</f>
        <v>162.32</v>
      </c>
      <c r="J16" s="116">
        <f t="shared" ref="J16:J22" si="11">ROUND(G16*0.5*0.6*21/10000,2)</f>
        <v>51.13</v>
      </c>
      <c r="K16" s="117">
        <f t="shared" ref="K16:K22" si="12">ROUND((H16+F16)*0.4*10/10000,2)</f>
        <v>4.76</v>
      </c>
      <c r="L16" s="118">
        <v>60</v>
      </c>
      <c r="M16" s="118">
        <f t="shared" si="6"/>
        <v>278.21</v>
      </c>
      <c r="N16" s="41">
        <f t="shared" si="7"/>
        <v>162.32</v>
      </c>
      <c r="O16" s="117">
        <f t="shared" ref="O16:O22" si="13">ROUND((E16-F16/0.7)*0.1*0.002,2)</f>
        <v>23.19</v>
      </c>
      <c r="P16" s="117">
        <f t="shared" ref="P16:P22" si="14">ROUND((E16-F16/0.7)*0.2*0.002,2)</f>
        <v>46.38</v>
      </c>
      <c r="Q16" s="117">
        <f t="shared" ref="Q16:Q22" si="15">N16-O16-P16</f>
        <v>92.75</v>
      </c>
    </row>
    <row r="17" s="1" customFormat="1" ht="18" customHeight="1" spans="1:17">
      <c r="A17" s="10">
        <v>440224</v>
      </c>
      <c r="B17" s="10" t="s">
        <v>56</v>
      </c>
      <c r="C17" s="120">
        <v>0.85</v>
      </c>
      <c r="D17" s="10" t="s">
        <v>60</v>
      </c>
      <c r="E17" s="46">
        <v>120900</v>
      </c>
      <c r="F17" s="46">
        <v>6625</v>
      </c>
      <c r="G17" s="110">
        <f t="shared" si="8"/>
        <v>78005</v>
      </c>
      <c r="H17" s="110">
        <f t="shared" si="9"/>
        <v>7020</v>
      </c>
      <c r="I17" s="115">
        <f t="shared" si="10"/>
        <v>156.01</v>
      </c>
      <c r="J17" s="116">
        <f t="shared" si="11"/>
        <v>49.14</v>
      </c>
      <c r="K17" s="117">
        <f t="shared" si="12"/>
        <v>5.46</v>
      </c>
      <c r="L17" s="118">
        <v>60</v>
      </c>
      <c r="M17" s="118">
        <f t="shared" si="6"/>
        <v>270.61</v>
      </c>
      <c r="N17" s="41">
        <f t="shared" si="7"/>
        <v>156.01</v>
      </c>
      <c r="O17" s="117">
        <f t="shared" si="13"/>
        <v>22.29</v>
      </c>
      <c r="P17" s="117">
        <f t="shared" si="14"/>
        <v>44.57</v>
      </c>
      <c r="Q17" s="117">
        <f t="shared" si="15"/>
        <v>89.15</v>
      </c>
    </row>
    <row r="18" s="1" customFormat="1" ht="18" customHeight="1" spans="1:17">
      <c r="A18" s="10">
        <v>440229</v>
      </c>
      <c r="B18" s="10" t="s">
        <v>56</v>
      </c>
      <c r="C18" s="120">
        <v>0.85</v>
      </c>
      <c r="D18" s="10" t="s">
        <v>61</v>
      </c>
      <c r="E18" s="46">
        <v>188220</v>
      </c>
      <c r="F18" s="46">
        <v>7711</v>
      </c>
      <c r="G18" s="110">
        <f t="shared" si="8"/>
        <v>124043</v>
      </c>
      <c r="H18" s="110">
        <f t="shared" si="9"/>
        <v>11164</v>
      </c>
      <c r="I18" s="115">
        <f t="shared" si="10"/>
        <v>248.09</v>
      </c>
      <c r="J18" s="116">
        <f t="shared" si="11"/>
        <v>78.15</v>
      </c>
      <c r="K18" s="117">
        <f t="shared" si="12"/>
        <v>7.55</v>
      </c>
      <c r="L18" s="118">
        <v>60</v>
      </c>
      <c r="M18" s="118">
        <f t="shared" si="6"/>
        <v>393.79</v>
      </c>
      <c r="N18" s="41">
        <f t="shared" si="7"/>
        <v>248.09</v>
      </c>
      <c r="O18" s="117">
        <f t="shared" si="13"/>
        <v>35.44</v>
      </c>
      <c r="P18" s="117">
        <f t="shared" si="14"/>
        <v>70.88</v>
      </c>
      <c r="Q18" s="117">
        <f t="shared" si="15"/>
        <v>141.77</v>
      </c>
    </row>
    <row r="19" s="1" customFormat="1" ht="18" customHeight="1" spans="1:17">
      <c r="A19" s="10">
        <v>440232</v>
      </c>
      <c r="B19" s="10" t="s">
        <v>56</v>
      </c>
      <c r="C19" s="120">
        <v>1</v>
      </c>
      <c r="D19" s="10" t="s">
        <v>62</v>
      </c>
      <c r="E19" s="46">
        <v>120021</v>
      </c>
      <c r="F19" s="46">
        <v>10263</v>
      </c>
      <c r="G19" s="110">
        <f t="shared" si="8"/>
        <v>73752</v>
      </c>
      <c r="H19" s="110">
        <f t="shared" si="9"/>
        <v>6638</v>
      </c>
      <c r="I19" s="115">
        <f t="shared" si="10"/>
        <v>147.5</v>
      </c>
      <c r="J19" s="116">
        <f t="shared" si="11"/>
        <v>46.46</v>
      </c>
      <c r="K19" s="117">
        <f t="shared" si="12"/>
        <v>6.76</v>
      </c>
      <c r="L19" s="118">
        <v>60</v>
      </c>
      <c r="M19" s="118">
        <f t="shared" si="6"/>
        <v>260.72</v>
      </c>
      <c r="N19" s="41">
        <f t="shared" si="7"/>
        <v>147.5</v>
      </c>
      <c r="O19" s="117">
        <f t="shared" si="13"/>
        <v>21.07</v>
      </c>
      <c r="P19" s="117">
        <f t="shared" si="14"/>
        <v>42.14</v>
      </c>
      <c r="Q19" s="117">
        <f t="shared" si="15"/>
        <v>84.29</v>
      </c>
    </row>
    <row r="20" s="1" customFormat="1" ht="18" customHeight="1" spans="1:17">
      <c r="A20" s="10">
        <v>440233</v>
      </c>
      <c r="B20" s="10" t="s">
        <v>56</v>
      </c>
      <c r="C20" s="120">
        <v>0.85</v>
      </c>
      <c r="D20" s="10" t="s">
        <v>63</v>
      </c>
      <c r="E20" s="46">
        <v>116590</v>
      </c>
      <c r="F20" s="46">
        <v>2266</v>
      </c>
      <c r="G20" s="110">
        <f t="shared" si="8"/>
        <v>79347</v>
      </c>
      <c r="H20" s="110">
        <f t="shared" si="9"/>
        <v>7141</v>
      </c>
      <c r="I20" s="115">
        <f t="shared" si="10"/>
        <v>158.69</v>
      </c>
      <c r="J20" s="116">
        <f t="shared" si="11"/>
        <v>49.99</v>
      </c>
      <c r="K20" s="117">
        <f t="shared" si="12"/>
        <v>3.76</v>
      </c>
      <c r="L20" s="118">
        <v>60</v>
      </c>
      <c r="M20" s="118">
        <f t="shared" si="6"/>
        <v>272.44</v>
      </c>
      <c r="N20" s="41">
        <f t="shared" si="7"/>
        <v>158.69</v>
      </c>
      <c r="O20" s="117">
        <f t="shared" si="13"/>
        <v>22.67</v>
      </c>
      <c r="P20" s="117">
        <f t="shared" si="14"/>
        <v>45.34</v>
      </c>
      <c r="Q20" s="117">
        <f t="shared" si="15"/>
        <v>90.68</v>
      </c>
    </row>
    <row r="21" s="1" customFormat="1" ht="18" customHeight="1" spans="1:17">
      <c r="A21" s="10">
        <v>440281</v>
      </c>
      <c r="B21" s="10" t="s">
        <v>56</v>
      </c>
      <c r="C21" s="120">
        <v>0.85</v>
      </c>
      <c r="D21" s="10" t="s">
        <v>64</v>
      </c>
      <c r="E21" s="46">
        <v>223884</v>
      </c>
      <c r="F21" s="46">
        <v>9370</v>
      </c>
      <c r="G21" s="110">
        <f t="shared" si="8"/>
        <v>147349</v>
      </c>
      <c r="H21" s="110">
        <f t="shared" si="9"/>
        <v>13261</v>
      </c>
      <c r="I21" s="115">
        <f t="shared" si="10"/>
        <v>294.7</v>
      </c>
      <c r="J21" s="116">
        <f t="shared" si="11"/>
        <v>92.83</v>
      </c>
      <c r="K21" s="117">
        <f t="shared" si="12"/>
        <v>9.05</v>
      </c>
      <c r="L21" s="118">
        <v>60</v>
      </c>
      <c r="M21" s="118">
        <f t="shared" si="6"/>
        <v>456.58</v>
      </c>
      <c r="N21" s="41">
        <f t="shared" si="7"/>
        <v>294.7</v>
      </c>
      <c r="O21" s="117">
        <f t="shared" si="13"/>
        <v>42.1</v>
      </c>
      <c r="P21" s="117">
        <f t="shared" si="14"/>
        <v>84.2</v>
      </c>
      <c r="Q21" s="117">
        <f t="shared" si="15"/>
        <v>168.4</v>
      </c>
    </row>
    <row r="22" s="1" customFormat="1" ht="18" customHeight="1" spans="1:17">
      <c r="A22" s="10">
        <v>440282</v>
      </c>
      <c r="B22" s="10" t="s">
        <v>56</v>
      </c>
      <c r="C22" s="120">
        <v>1</v>
      </c>
      <c r="D22" s="10" t="s">
        <v>65</v>
      </c>
      <c r="E22" s="46">
        <v>182035</v>
      </c>
      <c r="F22" s="46">
        <v>8587</v>
      </c>
      <c r="G22" s="110">
        <f t="shared" si="8"/>
        <v>118838</v>
      </c>
      <c r="H22" s="110">
        <f t="shared" si="9"/>
        <v>10695</v>
      </c>
      <c r="I22" s="115">
        <f t="shared" si="10"/>
        <v>237.68</v>
      </c>
      <c r="J22" s="116">
        <f t="shared" si="11"/>
        <v>74.87</v>
      </c>
      <c r="K22" s="117">
        <f t="shared" si="12"/>
        <v>7.71</v>
      </c>
      <c r="L22" s="118">
        <v>60</v>
      </c>
      <c r="M22" s="118">
        <f t="shared" si="6"/>
        <v>380.26</v>
      </c>
      <c r="N22" s="41">
        <f t="shared" si="7"/>
        <v>237.68</v>
      </c>
      <c r="O22" s="117">
        <f t="shared" si="13"/>
        <v>33.95</v>
      </c>
      <c r="P22" s="117">
        <f t="shared" si="14"/>
        <v>67.91</v>
      </c>
      <c r="Q22" s="117">
        <f t="shared" si="15"/>
        <v>135.82</v>
      </c>
    </row>
    <row r="23" s="4" customFormat="1" ht="18" customHeight="1" spans="1:17">
      <c r="A23" s="22">
        <v>440500</v>
      </c>
      <c r="B23" s="22" t="s">
        <v>66</v>
      </c>
      <c r="C23" s="107"/>
      <c r="D23" s="23" t="s">
        <v>67</v>
      </c>
      <c r="E23" s="108">
        <f t="shared" ref="E23:Q23" si="16">SUM(E24:E25)</f>
        <v>46196</v>
      </c>
      <c r="F23" s="108">
        <f t="shared" si="16"/>
        <v>712</v>
      </c>
      <c r="G23" s="108">
        <f t="shared" si="16"/>
        <v>31625</v>
      </c>
      <c r="H23" s="108">
        <f t="shared" si="16"/>
        <v>2846</v>
      </c>
      <c r="I23" s="114">
        <f t="shared" si="16"/>
        <v>63.25</v>
      </c>
      <c r="J23" s="107">
        <f t="shared" si="16"/>
        <v>19.92</v>
      </c>
      <c r="K23" s="114">
        <f t="shared" si="16"/>
        <v>1.42</v>
      </c>
      <c r="L23" s="114">
        <f t="shared" si="16"/>
        <v>85</v>
      </c>
      <c r="M23" s="114">
        <f t="shared" si="16"/>
        <v>169.59</v>
      </c>
      <c r="N23" s="114">
        <f t="shared" si="16"/>
        <v>63.25</v>
      </c>
      <c r="O23" s="114">
        <f t="shared" si="16"/>
        <v>9.04</v>
      </c>
      <c r="P23" s="114">
        <f t="shared" si="16"/>
        <v>18.07</v>
      </c>
      <c r="Q23" s="114">
        <f t="shared" si="16"/>
        <v>36.14</v>
      </c>
    </row>
    <row r="24" s="4" customFormat="1" ht="18" customHeight="1" spans="1:17">
      <c r="A24" s="22"/>
      <c r="B24" s="22"/>
      <c r="C24" s="120">
        <v>0.85</v>
      </c>
      <c r="D24" s="10" t="s">
        <v>58</v>
      </c>
      <c r="E24" s="108"/>
      <c r="F24" s="108"/>
      <c r="G24" s="108"/>
      <c r="H24" s="108"/>
      <c r="I24" s="115">
        <f t="shared" ref="I24:I31" si="17">ROUND(G24*20/10000,2)</f>
        <v>0</v>
      </c>
      <c r="J24" s="116">
        <v>0</v>
      </c>
      <c r="K24" s="117">
        <f>ROUND(H24*0.4*10/10000,2)</f>
        <v>0</v>
      </c>
      <c r="L24" s="118">
        <v>25</v>
      </c>
      <c r="M24" s="118">
        <f t="shared" ref="M24:M31" si="18">SUM(I24:L24)</f>
        <v>25</v>
      </c>
      <c r="N24" s="41">
        <f t="shared" ref="N24:N31" si="19">I24</f>
        <v>0</v>
      </c>
      <c r="O24" s="117">
        <f t="shared" ref="O24:O31" si="20">ROUND((E24-F24/0.7)*0.1*0.002,2)</f>
        <v>0</v>
      </c>
      <c r="P24" s="117">
        <f t="shared" ref="P24:P31" si="21">ROUND((E24-F24/0.7)*0.2*0.002,2)</f>
        <v>0</v>
      </c>
      <c r="Q24" s="117">
        <f t="shared" ref="Q24:Q31" si="22">N24-O24-P24</f>
        <v>0</v>
      </c>
    </row>
    <row r="25" s="1" customFormat="1" ht="18" customHeight="1" spans="1:17">
      <c r="A25" s="10">
        <v>440523</v>
      </c>
      <c r="B25" s="10" t="s">
        <v>66</v>
      </c>
      <c r="C25" s="120">
        <v>0.85</v>
      </c>
      <c r="D25" s="10" t="s">
        <v>68</v>
      </c>
      <c r="E25" s="46">
        <v>46196</v>
      </c>
      <c r="F25" s="46">
        <v>712</v>
      </c>
      <c r="G25" s="110">
        <f t="shared" ref="G25:G31" si="23">ROUND(E25*0.7-F25,0)</f>
        <v>31625</v>
      </c>
      <c r="H25" s="110">
        <f t="shared" ref="H25:H31" si="24">ROUND(G25*0.09,0)</f>
        <v>2846</v>
      </c>
      <c r="I25" s="115">
        <f t="shared" si="17"/>
        <v>63.25</v>
      </c>
      <c r="J25" s="116">
        <f t="shared" ref="J25:J31" si="25">ROUND(G25*0.5*0.6*21/10000,2)</f>
        <v>19.92</v>
      </c>
      <c r="K25" s="117">
        <f t="shared" ref="K25:K31" si="26">ROUND((H25+F25)*0.4*10/10000,2)</f>
        <v>1.42</v>
      </c>
      <c r="L25" s="118">
        <v>60</v>
      </c>
      <c r="M25" s="118">
        <f t="shared" si="18"/>
        <v>144.59</v>
      </c>
      <c r="N25" s="41">
        <f t="shared" si="19"/>
        <v>63.25</v>
      </c>
      <c r="O25" s="117">
        <f t="shared" si="20"/>
        <v>9.04</v>
      </c>
      <c r="P25" s="117">
        <f t="shared" si="21"/>
        <v>18.07</v>
      </c>
      <c r="Q25" s="117">
        <f t="shared" si="22"/>
        <v>36.14</v>
      </c>
    </row>
    <row r="26" s="4" customFormat="1" ht="18" customHeight="1" spans="1:17">
      <c r="A26" s="22">
        <v>440700</v>
      </c>
      <c r="B26" s="22" t="s">
        <v>69</v>
      </c>
      <c r="C26" s="107"/>
      <c r="D26" s="23" t="s">
        <v>70</v>
      </c>
      <c r="E26" s="108">
        <f t="shared" ref="E26:Q26" si="27">SUM(E27:E31)</f>
        <v>1910085</v>
      </c>
      <c r="F26" s="108">
        <f t="shared" si="27"/>
        <v>135514</v>
      </c>
      <c r="G26" s="108">
        <f t="shared" si="27"/>
        <v>1201546</v>
      </c>
      <c r="H26" s="108">
        <f t="shared" si="27"/>
        <v>108140</v>
      </c>
      <c r="I26" s="114">
        <f t="shared" si="27"/>
        <v>2403.09</v>
      </c>
      <c r="J26" s="107">
        <f t="shared" si="27"/>
        <v>756.97</v>
      </c>
      <c r="K26" s="114">
        <f t="shared" si="27"/>
        <v>97.46</v>
      </c>
      <c r="L26" s="114">
        <f t="shared" si="27"/>
        <v>265</v>
      </c>
      <c r="M26" s="114">
        <f t="shared" si="27"/>
        <v>3522.52</v>
      </c>
      <c r="N26" s="114">
        <f t="shared" si="27"/>
        <v>2403.09</v>
      </c>
      <c r="O26" s="114">
        <f t="shared" si="27"/>
        <v>343.3</v>
      </c>
      <c r="P26" s="114">
        <f t="shared" si="27"/>
        <v>686.61</v>
      </c>
      <c r="Q26" s="114">
        <f t="shared" si="27"/>
        <v>1373.18</v>
      </c>
    </row>
    <row r="27" s="4" customFormat="1" ht="18" customHeight="1" spans="1:17">
      <c r="A27" s="22"/>
      <c r="B27" s="22"/>
      <c r="C27" s="122">
        <v>0</v>
      </c>
      <c r="D27" s="10" t="s">
        <v>58</v>
      </c>
      <c r="E27" s="108"/>
      <c r="F27" s="108"/>
      <c r="G27" s="108"/>
      <c r="H27" s="108"/>
      <c r="I27" s="115">
        <f t="shared" si="17"/>
        <v>0</v>
      </c>
      <c r="J27" s="107">
        <v>0</v>
      </c>
      <c r="K27" s="117">
        <f>ROUND(H27*0.4*10/10000,2)</f>
        <v>0</v>
      </c>
      <c r="L27" s="118">
        <v>25</v>
      </c>
      <c r="M27" s="118">
        <f t="shared" si="18"/>
        <v>25</v>
      </c>
      <c r="N27" s="41">
        <f t="shared" si="19"/>
        <v>0</v>
      </c>
      <c r="O27" s="117">
        <f t="shared" si="20"/>
        <v>0</v>
      </c>
      <c r="P27" s="117">
        <f t="shared" si="21"/>
        <v>0</v>
      </c>
      <c r="Q27" s="117">
        <f t="shared" si="22"/>
        <v>0</v>
      </c>
    </row>
    <row r="28" s="1" customFormat="1" ht="18" customHeight="1" spans="1:17">
      <c r="A28" s="10">
        <v>440781</v>
      </c>
      <c r="B28" s="10" t="s">
        <v>69</v>
      </c>
      <c r="C28" s="120">
        <v>0.65</v>
      </c>
      <c r="D28" s="10" t="s">
        <v>71</v>
      </c>
      <c r="E28" s="46">
        <v>648417</v>
      </c>
      <c r="F28" s="46">
        <v>33006</v>
      </c>
      <c r="G28" s="110">
        <f t="shared" si="23"/>
        <v>420886</v>
      </c>
      <c r="H28" s="110">
        <f t="shared" si="24"/>
        <v>37880</v>
      </c>
      <c r="I28" s="115">
        <f t="shared" si="17"/>
        <v>841.77</v>
      </c>
      <c r="J28" s="116">
        <f t="shared" si="25"/>
        <v>265.16</v>
      </c>
      <c r="K28" s="117">
        <f t="shared" si="26"/>
        <v>28.35</v>
      </c>
      <c r="L28" s="118">
        <v>60</v>
      </c>
      <c r="M28" s="118">
        <f t="shared" si="18"/>
        <v>1195.28</v>
      </c>
      <c r="N28" s="41">
        <f t="shared" si="19"/>
        <v>841.77</v>
      </c>
      <c r="O28" s="117">
        <f t="shared" si="20"/>
        <v>120.25</v>
      </c>
      <c r="P28" s="117">
        <f t="shared" si="21"/>
        <v>240.51</v>
      </c>
      <c r="Q28" s="117">
        <f t="shared" si="22"/>
        <v>481.01</v>
      </c>
    </row>
    <row r="29" s="1" customFormat="1" ht="18" customHeight="1" spans="1:17">
      <c r="A29" s="10">
        <v>440783</v>
      </c>
      <c r="B29" s="10" t="s">
        <v>69</v>
      </c>
      <c r="C29" s="120">
        <v>0.65</v>
      </c>
      <c r="D29" s="10" t="s">
        <v>72</v>
      </c>
      <c r="E29" s="46">
        <v>521740</v>
      </c>
      <c r="F29" s="46">
        <v>48264</v>
      </c>
      <c r="G29" s="110">
        <f t="shared" si="23"/>
        <v>316954</v>
      </c>
      <c r="H29" s="110">
        <f t="shared" si="24"/>
        <v>28526</v>
      </c>
      <c r="I29" s="115">
        <f t="shared" si="17"/>
        <v>633.91</v>
      </c>
      <c r="J29" s="116">
        <f t="shared" si="25"/>
        <v>199.68</v>
      </c>
      <c r="K29" s="117">
        <f t="shared" si="26"/>
        <v>30.72</v>
      </c>
      <c r="L29" s="118">
        <v>60</v>
      </c>
      <c r="M29" s="118">
        <f t="shared" si="18"/>
        <v>924.31</v>
      </c>
      <c r="N29" s="41">
        <f t="shared" si="19"/>
        <v>633.91</v>
      </c>
      <c r="O29" s="117">
        <f t="shared" si="20"/>
        <v>90.56</v>
      </c>
      <c r="P29" s="117">
        <f t="shared" si="21"/>
        <v>181.12</v>
      </c>
      <c r="Q29" s="117">
        <f t="shared" si="22"/>
        <v>362.23</v>
      </c>
    </row>
    <row r="30" s="1" customFormat="1" ht="18" customHeight="1" spans="1:17">
      <c r="A30" s="10">
        <v>440784</v>
      </c>
      <c r="B30" s="10" t="s">
        <v>69</v>
      </c>
      <c r="C30" s="120">
        <v>0.65</v>
      </c>
      <c r="D30" s="10" t="s">
        <v>73</v>
      </c>
      <c r="E30" s="46">
        <v>391945</v>
      </c>
      <c r="F30" s="46">
        <v>22155</v>
      </c>
      <c r="G30" s="110">
        <f t="shared" si="23"/>
        <v>252207</v>
      </c>
      <c r="H30" s="110">
        <f t="shared" si="24"/>
        <v>22699</v>
      </c>
      <c r="I30" s="115">
        <f t="shared" si="17"/>
        <v>504.41</v>
      </c>
      <c r="J30" s="116">
        <f t="shared" si="25"/>
        <v>158.89</v>
      </c>
      <c r="K30" s="117">
        <f t="shared" si="26"/>
        <v>17.94</v>
      </c>
      <c r="L30" s="118">
        <v>60</v>
      </c>
      <c r="M30" s="118">
        <f t="shared" si="18"/>
        <v>741.24</v>
      </c>
      <c r="N30" s="41">
        <f t="shared" si="19"/>
        <v>504.41</v>
      </c>
      <c r="O30" s="117">
        <f t="shared" si="20"/>
        <v>72.06</v>
      </c>
      <c r="P30" s="117">
        <f t="shared" si="21"/>
        <v>144.12</v>
      </c>
      <c r="Q30" s="117">
        <f t="shared" si="22"/>
        <v>288.23</v>
      </c>
    </row>
    <row r="31" s="1" customFormat="1" ht="18" customHeight="1" spans="1:17">
      <c r="A31" s="10">
        <v>440785</v>
      </c>
      <c r="B31" s="10" t="s">
        <v>69</v>
      </c>
      <c r="C31" s="120">
        <v>0.65</v>
      </c>
      <c r="D31" s="10" t="s">
        <v>74</v>
      </c>
      <c r="E31" s="46">
        <v>347983</v>
      </c>
      <c r="F31" s="46">
        <v>32089</v>
      </c>
      <c r="G31" s="110">
        <f t="shared" si="23"/>
        <v>211499</v>
      </c>
      <c r="H31" s="110">
        <f t="shared" si="24"/>
        <v>19035</v>
      </c>
      <c r="I31" s="115">
        <f t="shared" si="17"/>
        <v>423</v>
      </c>
      <c r="J31" s="116">
        <f t="shared" si="25"/>
        <v>133.24</v>
      </c>
      <c r="K31" s="117">
        <f t="shared" si="26"/>
        <v>20.45</v>
      </c>
      <c r="L31" s="118">
        <v>60</v>
      </c>
      <c r="M31" s="118">
        <f t="shared" si="18"/>
        <v>636.69</v>
      </c>
      <c r="N31" s="41">
        <f t="shared" si="19"/>
        <v>423</v>
      </c>
      <c r="O31" s="117">
        <f t="shared" si="20"/>
        <v>60.43</v>
      </c>
      <c r="P31" s="117">
        <f t="shared" si="21"/>
        <v>120.86</v>
      </c>
      <c r="Q31" s="117">
        <f t="shared" si="22"/>
        <v>241.71</v>
      </c>
    </row>
    <row r="32" s="4" customFormat="1" ht="18" customHeight="1" spans="1:17">
      <c r="A32" s="22">
        <v>440800</v>
      </c>
      <c r="B32" s="22" t="s">
        <v>75</v>
      </c>
      <c r="C32" s="107"/>
      <c r="D32" s="23" t="s">
        <v>76</v>
      </c>
      <c r="E32" s="108">
        <f t="shared" ref="E32:Q32" si="28">SUM(E33:E38)</f>
        <v>3079356</v>
      </c>
      <c r="F32" s="108">
        <f t="shared" si="28"/>
        <v>135836</v>
      </c>
      <c r="G32" s="108">
        <f t="shared" si="28"/>
        <v>2019713</v>
      </c>
      <c r="H32" s="108">
        <f t="shared" si="28"/>
        <v>181774</v>
      </c>
      <c r="I32" s="114">
        <f t="shared" si="28"/>
        <v>4039.42</v>
      </c>
      <c r="J32" s="107">
        <f t="shared" si="28"/>
        <v>1272.43</v>
      </c>
      <c r="K32" s="114">
        <f t="shared" si="28"/>
        <v>127.04</v>
      </c>
      <c r="L32" s="114">
        <f t="shared" si="28"/>
        <v>325</v>
      </c>
      <c r="M32" s="114">
        <f t="shared" si="28"/>
        <v>5763.89</v>
      </c>
      <c r="N32" s="114">
        <f t="shared" si="28"/>
        <v>4039.42</v>
      </c>
      <c r="O32" s="114">
        <f t="shared" si="28"/>
        <v>577.06</v>
      </c>
      <c r="P32" s="114">
        <f t="shared" si="28"/>
        <v>1154.13</v>
      </c>
      <c r="Q32" s="114">
        <f t="shared" si="28"/>
        <v>2308.23</v>
      </c>
    </row>
    <row r="33" s="4" customFormat="1" ht="18" customHeight="1" spans="1:17">
      <c r="A33" s="22"/>
      <c r="B33" s="22"/>
      <c r="C33" s="120">
        <v>0.85</v>
      </c>
      <c r="D33" s="10" t="s">
        <v>58</v>
      </c>
      <c r="E33" s="108"/>
      <c r="F33" s="108"/>
      <c r="G33" s="108"/>
      <c r="H33" s="108"/>
      <c r="I33" s="115">
        <f t="shared" ref="I33:I38" si="29">ROUND(G33*20/10000,2)</f>
        <v>0</v>
      </c>
      <c r="J33" s="107">
        <v>0</v>
      </c>
      <c r="K33" s="117">
        <f>ROUND(H33*0.4*10/10000,2)</f>
        <v>0</v>
      </c>
      <c r="L33" s="118">
        <v>25</v>
      </c>
      <c r="M33" s="118">
        <f t="shared" ref="M33:M38" si="30">SUM(I33:L33)</f>
        <v>25</v>
      </c>
      <c r="N33" s="41">
        <f t="shared" ref="N33:N38" si="31">I33</f>
        <v>0</v>
      </c>
      <c r="O33" s="117">
        <f t="shared" ref="O33:O38" si="32">ROUND((E33-F33/0.7)*0.1*0.002,2)</f>
        <v>0</v>
      </c>
      <c r="P33" s="117">
        <f t="shared" ref="P33:P38" si="33">ROUND((E33-F33/0.7)*0.2*0.002,2)</f>
        <v>0</v>
      </c>
      <c r="Q33" s="117">
        <f t="shared" ref="Q33:Q38" si="34">N33-O33-P33</f>
        <v>0</v>
      </c>
    </row>
    <row r="34" s="1" customFormat="1" ht="18" customHeight="1" spans="1:17">
      <c r="A34" s="10">
        <v>440823</v>
      </c>
      <c r="B34" s="10" t="s">
        <v>75</v>
      </c>
      <c r="C34" s="120">
        <v>0.85</v>
      </c>
      <c r="D34" s="10" t="s">
        <v>77</v>
      </c>
      <c r="E34" s="46">
        <v>497405</v>
      </c>
      <c r="F34" s="46">
        <v>18499</v>
      </c>
      <c r="G34" s="110">
        <f t="shared" ref="G34:G38" si="35">ROUND(E34*0.7-F34,0)</f>
        <v>329685</v>
      </c>
      <c r="H34" s="110">
        <f t="shared" ref="H34:H38" si="36">ROUND(G34*0.09,0)</f>
        <v>29672</v>
      </c>
      <c r="I34" s="115">
        <f t="shared" si="29"/>
        <v>659.37</v>
      </c>
      <c r="J34" s="116">
        <f t="shared" ref="J34:J38" si="37">ROUND(G34*0.5*0.6*21/10000,2)</f>
        <v>207.7</v>
      </c>
      <c r="K34" s="117">
        <f t="shared" ref="K34:K38" si="38">ROUND((H34+F34)*0.4*10/10000,2)</f>
        <v>19.27</v>
      </c>
      <c r="L34" s="118">
        <v>60</v>
      </c>
      <c r="M34" s="118">
        <f t="shared" si="30"/>
        <v>946.34</v>
      </c>
      <c r="N34" s="41">
        <f t="shared" si="31"/>
        <v>659.37</v>
      </c>
      <c r="O34" s="117">
        <f t="shared" si="32"/>
        <v>94.2</v>
      </c>
      <c r="P34" s="117">
        <f t="shared" si="33"/>
        <v>188.39</v>
      </c>
      <c r="Q34" s="117">
        <f t="shared" si="34"/>
        <v>376.78</v>
      </c>
    </row>
    <row r="35" s="1" customFormat="1" ht="18" customHeight="1" spans="1:17">
      <c r="A35" s="10">
        <v>440825</v>
      </c>
      <c r="B35" s="10" t="s">
        <v>75</v>
      </c>
      <c r="C35" s="120">
        <v>0.85</v>
      </c>
      <c r="D35" s="10" t="s">
        <v>78</v>
      </c>
      <c r="E35" s="46">
        <v>454269</v>
      </c>
      <c r="F35" s="46">
        <v>18583</v>
      </c>
      <c r="G35" s="110">
        <f t="shared" si="35"/>
        <v>299405</v>
      </c>
      <c r="H35" s="110">
        <f t="shared" si="36"/>
        <v>26946</v>
      </c>
      <c r="I35" s="115">
        <f t="shared" si="29"/>
        <v>598.81</v>
      </c>
      <c r="J35" s="116">
        <f t="shared" si="37"/>
        <v>188.63</v>
      </c>
      <c r="K35" s="117">
        <f t="shared" si="38"/>
        <v>18.21</v>
      </c>
      <c r="L35" s="118">
        <v>60</v>
      </c>
      <c r="M35" s="118">
        <f t="shared" si="30"/>
        <v>865.65</v>
      </c>
      <c r="N35" s="41">
        <f t="shared" si="31"/>
        <v>598.81</v>
      </c>
      <c r="O35" s="117">
        <f t="shared" si="32"/>
        <v>85.54</v>
      </c>
      <c r="P35" s="117">
        <f t="shared" si="33"/>
        <v>171.09</v>
      </c>
      <c r="Q35" s="117">
        <f t="shared" si="34"/>
        <v>342.18</v>
      </c>
    </row>
    <row r="36" s="1" customFormat="1" ht="18" customHeight="1" spans="1:17">
      <c r="A36" s="10">
        <v>440881</v>
      </c>
      <c r="B36" s="10" t="s">
        <v>75</v>
      </c>
      <c r="C36" s="120">
        <v>0.85</v>
      </c>
      <c r="D36" s="10" t="s">
        <v>79</v>
      </c>
      <c r="E36" s="46">
        <v>801879</v>
      </c>
      <c r="F36" s="46">
        <v>28973</v>
      </c>
      <c r="G36" s="110">
        <f t="shared" si="35"/>
        <v>532342</v>
      </c>
      <c r="H36" s="110">
        <f t="shared" si="36"/>
        <v>47911</v>
      </c>
      <c r="I36" s="115">
        <f t="shared" si="29"/>
        <v>1064.68</v>
      </c>
      <c r="J36" s="116">
        <f t="shared" si="37"/>
        <v>335.38</v>
      </c>
      <c r="K36" s="117">
        <f t="shared" si="38"/>
        <v>30.75</v>
      </c>
      <c r="L36" s="118">
        <v>60</v>
      </c>
      <c r="M36" s="118">
        <f t="shared" si="30"/>
        <v>1490.81</v>
      </c>
      <c r="N36" s="41">
        <f t="shared" si="31"/>
        <v>1064.68</v>
      </c>
      <c r="O36" s="117">
        <f t="shared" si="32"/>
        <v>152.1</v>
      </c>
      <c r="P36" s="117">
        <f t="shared" si="33"/>
        <v>304.2</v>
      </c>
      <c r="Q36" s="117">
        <f t="shared" si="34"/>
        <v>608.38</v>
      </c>
    </row>
    <row r="37" s="1" customFormat="1" ht="18" customHeight="1" spans="1:17">
      <c r="A37" s="10">
        <v>440882</v>
      </c>
      <c r="B37" s="10" t="s">
        <v>75</v>
      </c>
      <c r="C37" s="120">
        <v>0.85</v>
      </c>
      <c r="D37" s="10" t="s">
        <v>80</v>
      </c>
      <c r="E37" s="46">
        <v>775857</v>
      </c>
      <c r="F37" s="46">
        <v>16123</v>
      </c>
      <c r="G37" s="110">
        <f t="shared" si="35"/>
        <v>526977</v>
      </c>
      <c r="H37" s="110">
        <f t="shared" si="36"/>
        <v>47428</v>
      </c>
      <c r="I37" s="115">
        <f t="shared" si="29"/>
        <v>1053.95</v>
      </c>
      <c r="J37" s="116">
        <f t="shared" si="37"/>
        <v>332</v>
      </c>
      <c r="K37" s="117">
        <f t="shared" si="38"/>
        <v>25.42</v>
      </c>
      <c r="L37" s="118">
        <v>60</v>
      </c>
      <c r="M37" s="118">
        <f t="shared" si="30"/>
        <v>1471.37</v>
      </c>
      <c r="N37" s="41">
        <f t="shared" si="31"/>
        <v>1053.95</v>
      </c>
      <c r="O37" s="117">
        <f t="shared" si="32"/>
        <v>150.56</v>
      </c>
      <c r="P37" s="117">
        <f t="shared" si="33"/>
        <v>301.13</v>
      </c>
      <c r="Q37" s="117">
        <f t="shared" si="34"/>
        <v>602.26</v>
      </c>
    </row>
    <row r="38" s="1" customFormat="1" ht="18" customHeight="1" spans="1:17">
      <c r="A38" s="10">
        <v>440883</v>
      </c>
      <c r="B38" s="10" t="s">
        <v>75</v>
      </c>
      <c r="C38" s="120">
        <v>0.85</v>
      </c>
      <c r="D38" s="10" t="s">
        <v>81</v>
      </c>
      <c r="E38" s="46">
        <v>549946</v>
      </c>
      <c r="F38" s="46">
        <v>53658</v>
      </c>
      <c r="G38" s="110">
        <f t="shared" si="35"/>
        <v>331304</v>
      </c>
      <c r="H38" s="110">
        <f t="shared" si="36"/>
        <v>29817</v>
      </c>
      <c r="I38" s="115">
        <f t="shared" si="29"/>
        <v>662.61</v>
      </c>
      <c r="J38" s="116">
        <f t="shared" si="37"/>
        <v>208.72</v>
      </c>
      <c r="K38" s="117">
        <f t="shared" si="38"/>
        <v>33.39</v>
      </c>
      <c r="L38" s="118">
        <v>60</v>
      </c>
      <c r="M38" s="118">
        <f t="shared" si="30"/>
        <v>964.72</v>
      </c>
      <c r="N38" s="41">
        <f t="shared" si="31"/>
        <v>662.61</v>
      </c>
      <c r="O38" s="117">
        <f t="shared" si="32"/>
        <v>94.66</v>
      </c>
      <c r="P38" s="117">
        <f t="shared" si="33"/>
        <v>189.32</v>
      </c>
      <c r="Q38" s="117">
        <f t="shared" si="34"/>
        <v>378.63</v>
      </c>
    </row>
    <row r="39" s="4" customFormat="1" ht="18" customHeight="1" spans="1:17">
      <c r="A39" s="22">
        <v>440900</v>
      </c>
      <c r="B39" s="22" t="s">
        <v>82</v>
      </c>
      <c r="C39" s="107"/>
      <c r="D39" s="23" t="s">
        <v>83</v>
      </c>
      <c r="E39" s="108">
        <f t="shared" ref="E39:Q39" si="39">SUM(E40:E43)</f>
        <v>1860263</v>
      </c>
      <c r="F39" s="108">
        <f t="shared" si="39"/>
        <v>80589</v>
      </c>
      <c r="G39" s="108">
        <f t="shared" si="39"/>
        <v>1121595</v>
      </c>
      <c r="H39" s="108">
        <f t="shared" si="39"/>
        <v>100943</v>
      </c>
      <c r="I39" s="114">
        <f t="shared" si="39"/>
        <v>2243.2</v>
      </c>
      <c r="J39" s="107">
        <f t="shared" si="39"/>
        <v>706.61</v>
      </c>
      <c r="K39" s="114">
        <f t="shared" si="39"/>
        <v>72.62</v>
      </c>
      <c r="L39" s="114">
        <f t="shared" si="39"/>
        <v>205</v>
      </c>
      <c r="M39" s="114">
        <f t="shared" si="39"/>
        <v>3227.43</v>
      </c>
      <c r="N39" s="114">
        <f t="shared" si="39"/>
        <v>2243.2</v>
      </c>
      <c r="O39" s="114">
        <f t="shared" si="39"/>
        <v>349.03</v>
      </c>
      <c r="P39" s="114">
        <f t="shared" si="39"/>
        <v>698.06</v>
      </c>
      <c r="Q39" s="114">
        <f t="shared" si="39"/>
        <v>1196.11</v>
      </c>
    </row>
    <row r="40" s="4" customFormat="1" ht="18" customHeight="1" spans="1:17">
      <c r="A40" s="22"/>
      <c r="B40" s="22"/>
      <c r="C40" s="120">
        <v>0.85</v>
      </c>
      <c r="D40" s="10" t="s">
        <v>58</v>
      </c>
      <c r="E40" s="108"/>
      <c r="F40" s="108"/>
      <c r="G40" s="108"/>
      <c r="H40" s="108"/>
      <c r="I40" s="115">
        <f t="shared" ref="I40:I43" si="40">ROUND(G40*20/10000,2)</f>
        <v>0</v>
      </c>
      <c r="J40" s="107">
        <v>0</v>
      </c>
      <c r="K40" s="117">
        <f>ROUND(H40*0.4*10/10000,2)</f>
        <v>0</v>
      </c>
      <c r="L40" s="118">
        <v>25</v>
      </c>
      <c r="M40" s="118">
        <f t="shared" ref="M40:M43" si="41">SUM(I40:L40)</f>
        <v>25</v>
      </c>
      <c r="N40" s="41">
        <f t="shared" ref="N40:N43" si="42">I40</f>
        <v>0</v>
      </c>
      <c r="O40" s="117">
        <f t="shared" ref="O40:O43" si="43">ROUND((E40-F40/0.7)*0.1*0.002,2)</f>
        <v>0</v>
      </c>
      <c r="P40" s="117">
        <f t="shared" ref="P40:P43" si="44">ROUND((E40-F40/0.7)*0.2*0.002,2)</f>
        <v>0</v>
      </c>
      <c r="Q40" s="117">
        <f t="shared" ref="Q40:Q43" si="45">N40-O40-P40</f>
        <v>0</v>
      </c>
    </row>
    <row r="41" s="1" customFormat="1" ht="18" customHeight="1" spans="1:17">
      <c r="A41" s="10">
        <v>440981</v>
      </c>
      <c r="B41" s="10" t="s">
        <v>82</v>
      </c>
      <c r="C41" s="120">
        <v>0.85</v>
      </c>
      <c r="D41" s="10" t="s">
        <v>84</v>
      </c>
      <c r="E41" s="46">
        <v>712309</v>
      </c>
      <c r="F41" s="46">
        <v>35048</v>
      </c>
      <c r="G41" s="110">
        <f t="shared" ref="G41:G50" si="46">ROUND(E41*0.7-F41,0)</f>
        <v>463568</v>
      </c>
      <c r="H41" s="110">
        <f t="shared" ref="H41:H43" si="47">ROUND(G41*0.09,0)</f>
        <v>41721</v>
      </c>
      <c r="I41" s="115">
        <f t="shared" si="40"/>
        <v>927.14</v>
      </c>
      <c r="J41" s="116">
        <f t="shared" ref="J41:J43" si="48">ROUND(G41*0.5*0.6*21/10000,2)</f>
        <v>292.05</v>
      </c>
      <c r="K41" s="117">
        <f t="shared" ref="K41:K43" si="49">ROUND((H41+F41)*0.4*10/10000,2)</f>
        <v>30.71</v>
      </c>
      <c r="L41" s="118">
        <v>60</v>
      </c>
      <c r="M41" s="118">
        <f t="shared" si="41"/>
        <v>1309.9</v>
      </c>
      <c r="N41" s="41">
        <f t="shared" si="42"/>
        <v>927.14</v>
      </c>
      <c r="O41" s="117">
        <f t="shared" si="43"/>
        <v>132.45</v>
      </c>
      <c r="P41" s="117">
        <f t="shared" si="44"/>
        <v>264.9</v>
      </c>
      <c r="Q41" s="117">
        <f t="shared" si="45"/>
        <v>529.79</v>
      </c>
    </row>
    <row r="42" s="1" customFormat="1" ht="18" customHeight="1" spans="1:17">
      <c r="A42" s="10">
        <v>440982</v>
      </c>
      <c r="B42" s="10" t="s">
        <v>82</v>
      </c>
      <c r="C42" s="120">
        <v>0.85</v>
      </c>
      <c r="D42" s="10" t="s">
        <v>85</v>
      </c>
      <c r="E42" s="46">
        <v>614131</v>
      </c>
      <c r="F42" s="46">
        <v>19558</v>
      </c>
      <c r="G42" s="123">
        <f>ROUND(E42*0.7-100000-F42,0)</f>
        <v>310334</v>
      </c>
      <c r="H42" s="110">
        <f t="shared" si="47"/>
        <v>27930</v>
      </c>
      <c r="I42" s="115">
        <f t="shared" si="40"/>
        <v>620.67</v>
      </c>
      <c r="J42" s="116">
        <f t="shared" si="48"/>
        <v>195.51</v>
      </c>
      <c r="K42" s="117">
        <f t="shared" si="49"/>
        <v>19</v>
      </c>
      <c r="L42" s="118">
        <v>60</v>
      </c>
      <c r="M42" s="118">
        <f t="shared" si="41"/>
        <v>895.18</v>
      </c>
      <c r="N42" s="41">
        <f t="shared" si="42"/>
        <v>620.67</v>
      </c>
      <c r="O42" s="117">
        <f t="shared" si="43"/>
        <v>117.24</v>
      </c>
      <c r="P42" s="117">
        <f t="shared" si="44"/>
        <v>234.48</v>
      </c>
      <c r="Q42" s="117">
        <f t="shared" si="45"/>
        <v>268.95</v>
      </c>
    </row>
    <row r="43" s="1" customFormat="1" ht="18" customHeight="1" spans="1:17">
      <c r="A43" s="10">
        <v>440983</v>
      </c>
      <c r="B43" s="10" t="s">
        <v>82</v>
      </c>
      <c r="C43" s="120">
        <v>0.85</v>
      </c>
      <c r="D43" s="10" t="s">
        <v>86</v>
      </c>
      <c r="E43" s="46">
        <v>533823</v>
      </c>
      <c r="F43" s="46">
        <v>25983</v>
      </c>
      <c r="G43" s="110">
        <f t="shared" si="46"/>
        <v>347693</v>
      </c>
      <c r="H43" s="110">
        <f t="shared" si="47"/>
        <v>31292</v>
      </c>
      <c r="I43" s="115">
        <f t="shared" si="40"/>
        <v>695.39</v>
      </c>
      <c r="J43" s="116">
        <f t="shared" si="48"/>
        <v>219.05</v>
      </c>
      <c r="K43" s="117">
        <f t="shared" si="49"/>
        <v>22.91</v>
      </c>
      <c r="L43" s="118">
        <v>60</v>
      </c>
      <c r="M43" s="118">
        <f t="shared" si="41"/>
        <v>997.35</v>
      </c>
      <c r="N43" s="41">
        <f t="shared" si="42"/>
        <v>695.39</v>
      </c>
      <c r="O43" s="117">
        <f t="shared" si="43"/>
        <v>99.34</v>
      </c>
      <c r="P43" s="117">
        <f t="shared" si="44"/>
        <v>198.68</v>
      </c>
      <c r="Q43" s="117">
        <f t="shared" si="45"/>
        <v>397.37</v>
      </c>
    </row>
    <row r="44" s="4" customFormat="1" ht="18" customHeight="1" spans="1:17">
      <c r="A44" s="22">
        <v>441200</v>
      </c>
      <c r="B44" s="22" t="s">
        <v>87</v>
      </c>
      <c r="C44" s="107"/>
      <c r="D44" s="23" t="s">
        <v>88</v>
      </c>
      <c r="E44" s="108">
        <f t="shared" ref="E44:Q44" si="50">SUM(E45:E50)</f>
        <v>1384019</v>
      </c>
      <c r="F44" s="108">
        <f t="shared" si="50"/>
        <v>71147</v>
      </c>
      <c r="G44" s="108">
        <f t="shared" si="50"/>
        <v>897667</v>
      </c>
      <c r="H44" s="108">
        <f t="shared" si="50"/>
        <v>80790</v>
      </c>
      <c r="I44" s="114">
        <f t="shared" si="50"/>
        <v>1795.32</v>
      </c>
      <c r="J44" s="107">
        <f t="shared" si="50"/>
        <v>565.54</v>
      </c>
      <c r="K44" s="114">
        <f t="shared" si="50"/>
        <v>60.77</v>
      </c>
      <c r="L44" s="114">
        <f t="shared" si="50"/>
        <v>325</v>
      </c>
      <c r="M44" s="114">
        <f t="shared" si="50"/>
        <v>2746.63</v>
      </c>
      <c r="N44" s="114">
        <f t="shared" si="50"/>
        <v>1795.32</v>
      </c>
      <c r="O44" s="114">
        <f t="shared" si="50"/>
        <v>256.48</v>
      </c>
      <c r="P44" s="114">
        <f t="shared" si="50"/>
        <v>512.95</v>
      </c>
      <c r="Q44" s="114">
        <f t="shared" si="50"/>
        <v>1025.89</v>
      </c>
    </row>
    <row r="45" s="4" customFormat="1" ht="18" customHeight="1" spans="1:17">
      <c r="A45" s="22"/>
      <c r="B45" s="22"/>
      <c r="C45" s="120">
        <v>0.65</v>
      </c>
      <c r="D45" s="10" t="s">
        <v>58</v>
      </c>
      <c r="E45" s="108"/>
      <c r="F45" s="108"/>
      <c r="G45" s="108"/>
      <c r="H45" s="108"/>
      <c r="I45" s="115">
        <f t="shared" ref="I45:I50" si="51">ROUND(G45*20/10000,2)</f>
        <v>0</v>
      </c>
      <c r="J45" s="107">
        <v>0</v>
      </c>
      <c r="K45" s="117">
        <f>ROUND(H45*0.4*10/10000,2)</f>
        <v>0</v>
      </c>
      <c r="L45" s="118">
        <v>25</v>
      </c>
      <c r="M45" s="118">
        <f t="shared" ref="M45:M50" si="52">SUM(I45:L45)</f>
        <v>25</v>
      </c>
      <c r="N45" s="41">
        <f t="shared" ref="N45:N50" si="53">I45</f>
        <v>0</v>
      </c>
      <c r="O45" s="117">
        <f t="shared" ref="O45:O50" si="54">ROUND((E45-F45/0.7)*0.1*0.002,2)</f>
        <v>0</v>
      </c>
      <c r="P45" s="117">
        <f t="shared" ref="P45:P50" si="55">ROUND((E45-F45/0.7)*0.2*0.002,2)</f>
        <v>0</v>
      </c>
      <c r="Q45" s="117">
        <f t="shared" ref="Q45:Q50" si="56">N45-O45-P45</f>
        <v>0</v>
      </c>
    </row>
    <row r="46" s="1" customFormat="1" ht="18" customHeight="1" spans="1:17">
      <c r="A46" s="10">
        <v>441223</v>
      </c>
      <c r="B46" s="10" t="s">
        <v>87</v>
      </c>
      <c r="C46" s="120">
        <v>0.85</v>
      </c>
      <c r="D46" s="10" t="s">
        <v>89</v>
      </c>
      <c r="E46" s="46">
        <v>254266</v>
      </c>
      <c r="F46" s="46">
        <v>14149</v>
      </c>
      <c r="G46" s="110">
        <f t="shared" si="46"/>
        <v>163837</v>
      </c>
      <c r="H46" s="110">
        <f t="shared" ref="H46:H50" si="57">ROUND(G46*0.09,0)</f>
        <v>14745</v>
      </c>
      <c r="I46" s="115">
        <f t="shared" si="51"/>
        <v>327.67</v>
      </c>
      <c r="J46" s="116">
        <f t="shared" ref="J46:J50" si="58">ROUND(G46*0.5*0.6*21/10000,2)</f>
        <v>103.22</v>
      </c>
      <c r="K46" s="117">
        <f t="shared" ref="K46:K50" si="59">ROUND((H46+F46)*0.4*10/10000,2)</f>
        <v>11.56</v>
      </c>
      <c r="L46" s="118">
        <v>60</v>
      </c>
      <c r="M46" s="118">
        <f t="shared" si="52"/>
        <v>502.45</v>
      </c>
      <c r="N46" s="41">
        <f t="shared" si="53"/>
        <v>327.67</v>
      </c>
      <c r="O46" s="117">
        <f t="shared" si="54"/>
        <v>46.81</v>
      </c>
      <c r="P46" s="117">
        <f t="shared" si="55"/>
        <v>93.62</v>
      </c>
      <c r="Q46" s="117">
        <f t="shared" si="56"/>
        <v>187.24</v>
      </c>
    </row>
    <row r="47" s="1" customFormat="1" ht="18" customHeight="1" spans="1:17">
      <c r="A47" s="10">
        <v>441224</v>
      </c>
      <c r="B47" s="10" t="s">
        <v>87</v>
      </c>
      <c r="C47" s="120">
        <v>0.85</v>
      </c>
      <c r="D47" s="10" t="s">
        <v>90</v>
      </c>
      <c r="E47" s="46">
        <v>386138</v>
      </c>
      <c r="F47" s="46">
        <v>23002</v>
      </c>
      <c r="G47" s="110">
        <f t="shared" si="46"/>
        <v>247295</v>
      </c>
      <c r="H47" s="110">
        <f t="shared" si="57"/>
        <v>22257</v>
      </c>
      <c r="I47" s="115">
        <f t="shared" si="51"/>
        <v>494.59</v>
      </c>
      <c r="J47" s="116">
        <f t="shared" si="58"/>
        <v>155.8</v>
      </c>
      <c r="K47" s="117">
        <f t="shared" si="59"/>
        <v>18.1</v>
      </c>
      <c r="L47" s="118">
        <v>60</v>
      </c>
      <c r="M47" s="118">
        <f t="shared" si="52"/>
        <v>728.49</v>
      </c>
      <c r="N47" s="41">
        <f t="shared" si="53"/>
        <v>494.59</v>
      </c>
      <c r="O47" s="117">
        <f t="shared" si="54"/>
        <v>70.66</v>
      </c>
      <c r="P47" s="117">
        <f t="shared" si="55"/>
        <v>141.31</v>
      </c>
      <c r="Q47" s="117">
        <f t="shared" si="56"/>
        <v>282.62</v>
      </c>
    </row>
    <row r="48" s="1" customFormat="1" ht="18" customHeight="1" spans="1:17">
      <c r="A48" s="10">
        <v>441225</v>
      </c>
      <c r="B48" s="10" t="s">
        <v>87</v>
      </c>
      <c r="C48" s="120">
        <v>0.85</v>
      </c>
      <c r="D48" s="10" t="s">
        <v>91</v>
      </c>
      <c r="E48" s="46">
        <v>196861</v>
      </c>
      <c r="F48" s="46">
        <v>14286</v>
      </c>
      <c r="G48" s="110">
        <f t="shared" si="46"/>
        <v>123517</v>
      </c>
      <c r="H48" s="110">
        <f t="shared" si="57"/>
        <v>11117</v>
      </c>
      <c r="I48" s="115">
        <f t="shared" si="51"/>
        <v>247.03</v>
      </c>
      <c r="J48" s="116">
        <f t="shared" si="58"/>
        <v>77.82</v>
      </c>
      <c r="K48" s="117">
        <f t="shared" si="59"/>
        <v>10.16</v>
      </c>
      <c r="L48" s="118">
        <v>60</v>
      </c>
      <c r="M48" s="118">
        <f t="shared" si="52"/>
        <v>395.01</v>
      </c>
      <c r="N48" s="41">
        <f t="shared" si="53"/>
        <v>247.03</v>
      </c>
      <c r="O48" s="117">
        <f t="shared" si="54"/>
        <v>35.29</v>
      </c>
      <c r="P48" s="117">
        <f t="shared" si="55"/>
        <v>70.58</v>
      </c>
      <c r="Q48" s="117">
        <f t="shared" si="56"/>
        <v>141.16</v>
      </c>
    </row>
    <row r="49" s="1" customFormat="1" ht="18" customHeight="1" spans="1:17">
      <c r="A49" s="10">
        <v>441226</v>
      </c>
      <c r="B49" s="10" t="s">
        <v>87</v>
      </c>
      <c r="C49" s="120">
        <v>0.85</v>
      </c>
      <c r="D49" s="10" t="s">
        <v>92</v>
      </c>
      <c r="E49" s="46">
        <v>207985</v>
      </c>
      <c r="F49" s="46">
        <v>6944</v>
      </c>
      <c r="G49" s="110">
        <f t="shared" si="46"/>
        <v>138646</v>
      </c>
      <c r="H49" s="110">
        <f t="shared" si="57"/>
        <v>12478</v>
      </c>
      <c r="I49" s="115">
        <f t="shared" si="51"/>
        <v>277.29</v>
      </c>
      <c r="J49" s="116">
        <f t="shared" si="58"/>
        <v>87.35</v>
      </c>
      <c r="K49" s="117">
        <f t="shared" si="59"/>
        <v>7.77</v>
      </c>
      <c r="L49" s="118">
        <v>60</v>
      </c>
      <c r="M49" s="118">
        <f t="shared" si="52"/>
        <v>432.41</v>
      </c>
      <c r="N49" s="41">
        <f t="shared" si="53"/>
        <v>277.29</v>
      </c>
      <c r="O49" s="117">
        <f t="shared" si="54"/>
        <v>39.61</v>
      </c>
      <c r="P49" s="117">
        <f t="shared" si="55"/>
        <v>79.23</v>
      </c>
      <c r="Q49" s="117">
        <f t="shared" si="56"/>
        <v>158.45</v>
      </c>
    </row>
    <row r="50" s="1" customFormat="1" ht="18" customHeight="1" spans="1:17">
      <c r="A50" s="10">
        <v>441284</v>
      </c>
      <c r="B50" s="10" t="s">
        <v>87</v>
      </c>
      <c r="C50" s="120">
        <v>0.65</v>
      </c>
      <c r="D50" s="10" t="s">
        <v>93</v>
      </c>
      <c r="E50" s="46">
        <v>338769</v>
      </c>
      <c r="F50" s="46">
        <v>12766</v>
      </c>
      <c r="G50" s="110">
        <f t="shared" si="46"/>
        <v>224372</v>
      </c>
      <c r="H50" s="110">
        <f t="shared" si="57"/>
        <v>20193</v>
      </c>
      <c r="I50" s="115">
        <f t="shared" si="51"/>
        <v>448.74</v>
      </c>
      <c r="J50" s="116">
        <f t="shared" si="58"/>
        <v>141.35</v>
      </c>
      <c r="K50" s="117">
        <f t="shared" si="59"/>
        <v>13.18</v>
      </c>
      <c r="L50" s="118">
        <v>60</v>
      </c>
      <c r="M50" s="118">
        <f t="shared" si="52"/>
        <v>663.27</v>
      </c>
      <c r="N50" s="41">
        <f t="shared" si="53"/>
        <v>448.74</v>
      </c>
      <c r="O50" s="117">
        <f t="shared" si="54"/>
        <v>64.11</v>
      </c>
      <c r="P50" s="117">
        <f t="shared" si="55"/>
        <v>128.21</v>
      </c>
      <c r="Q50" s="117">
        <f t="shared" si="56"/>
        <v>256.42</v>
      </c>
    </row>
    <row r="51" s="4" customFormat="1" ht="18" customHeight="1" spans="1:17">
      <c r="A51" s="22">
        <v>441300</v>
      </c>
      <c r="B51" s="22" t="s">
        <v>94</v>
      </c>
      <c r="C51" s="107"/>
      <c r="D51" s="23" t="s">
        <v>95</v>
      </c>
      <c r="E51" s="108">
        <f t="shared" ref="E51:Q51" si="60">SUM(E52:E55)</f>
        <v>1656785</v>
      </c>
      <c r="F51" s="108">
        <f t="shared" si="60"/>
        <v>45262</v>
      </c>
      <c r="G51" s="108">
        <f t="shared" si="60"/>
        <v>1114488</v>
      </c>
      <c r="H51" s="108">
        <f t="shared" si="60"/>
        <v>100303</v>
      </c>
      <c r="I51" s="114">
        <f t="shared" si="60"/>
        <v>2228.98</v>
      </c>
      <c r="J51" s="107">
        <f t="shared" si="60"/>
        <v>702.12</v>
      </c>
      <c r="K51" s="114">
        <f t="shared" si="60"/>
        <v>58.23</v>
      </c>
      <c r="L51" s="114">
        <f t="shared" si="60"/>
        <v>205</v>
      </c>
      <c r="M51" s="114">
        <f t="shared" si="60"/>
        <v>3194.33</v>
      </c>
      <c r="N51" s="114">
        <f t="shared" si="60"/>
        <v>2228.98</v>
      </c>
      <c r="O51" s="114">
        <f t="shared" si="60"/>
        <v>318.42</v>
      </c>
      <c r="P51" s="114">
        <f t="shared" si="60"/>
        <v>636.85</v>
      </c>
      <c r="Q51" s="114">
        <f t="shared" si="60"/>
        <v>1273.71</v>
      </c>
    </row>
    <row r="52" s="4" customFormat="1" ht="18" customHeight="1" spans="1:17">
      <c r="A52" s="22"/>
      <c r="B52" s="22"/>
      <c r="C52" s="120">
        <v>0.65</v>
      </c>
      <c r="D52" s="10" t="s">
        <v>58</v>
      </c>
      <c r="E52" s="108"/>
      <c r="F52" s="108"/>
      <c r="G52" s="108"/>
      <c r="H52" s="108"/>
      <c r="I52" s="115">
        <f t="shared" ref="I52:I55" si="61">ROUND(G52*20/10000,2)</f>
        <v>0</v>
      </c>
      <c r="J52" s="107">
        <v>0</v>
      </c>
      <c r="K52" s="117">
        <f>ROUND(H52*0.4*10/10000,2)</f>
        <v>0</v>
      </c>
      <c r="L52" s="118">
        <v>25</v>
      </c>
      <c r="M52" s="118">
        <f t="shared" ref="M52:M55" si="62">SUM(I52:L52)</f>
        <v>25</v>
      </c>
      <c r="N52" s="41">
        <f t="shared" ref="N52:N55" si="63">I52</f>
        <v>0</v>
      </c>
      <c r="O52" s="117">
        <f t="shared" ref="O52:O55" si="64">ROUND((E52-F52/0.7)*0.1*0.002,2)</f>
        <v>0</v>
      </c>
      <c r="P52" s="117">
        <f t="shared" ref="P52:P55" si="65">ROUND((E52-F52/0.7)*0.2*0.002,2)</f>
        <v>0</v>
      </c>
      <c r="Q52" s="117">
        <f t="shared" ref="Q52:Q55" si="66">N52-O52-P52</f>
        <v>0</v>
      </c>
    </row>
    <row r="53" s="1" customFormat="1" ht="18" customHeight="1" spans="1:17">
      <c r="A53" s="10">
        <v>441322</v>
      </c>
      <c r="B53" s="10" t="s">
        <v>94</v>
      </c>
      <c r="C53" s="120">
        <v>0.65</v>
      </c>
      <c r="D53" s="10" t="s">
        <v>96</v>
      </c>
      <c r="E53" s="46">
        <v>826100</v>
      </c>
      <c r="F53" s="46">
        <v>33822</v>
      </c>
      <c r="G53" s="110">
        <f t="shared" ref="G53:G55" si="67">ROUND(E53*0.7-F53,0)</f>
        <v>544448</v>
      </c>
      <c r="H53" s="110">
        <f t="shared" ref="H53:H55" si="68">ROUND(G53*0.09,0)</f>
        <v>49000</v>
      </c>
      <c r="I53" s="115">
        <f t="shared" si="61"/>
        <v>1088.9</v>
      </c>
      <c r="J53" s="116">
        <f t="shared" ref="J53:J55" si="69">ROUND(G53*0.5*0.6*21/10000,2)</f>
        <v>343</v>
      </c>
      <c r="K53" s="117">
        <f t="shared" ref="K53:K55" si="70">ROUND((H53+F53)*0.4*10/10000,2)</f>
        <v>33.13</v>
      </c>
      <c r="L53" s="118">
        <v>60</v>
      </c>
      <c r="M53" s="118">
        <f t="shared" si="62"/>
        <v>1525.03</v>
      </c>
      <c r="N53" s="41">
        <f t="shared" si="63"/>
        <v>1088.9</v>
      </c>
      <c r="O53" s="117">
        <f t="shared" si="64"/>
        <v>155.56</v>
      </c>
      <c r="P53" s="117">
        <f t="shared" si="65"/>
        <v>311.11</v>
      </c>
      <c r="Q53" s="117">
        <f t="shared" si="66"/>
        <v>622.23</v>
      </c>
    </row>
    <row r="54" s="1" customFormat="1" ht="18" customHeight="1" spans="1:17">
      <c r="A54" s="10">
        <v>441323</v>
      </c>
      <c r="B54" s="10" t="s">
        <v>94</v>
      </c>
      <c r="C54" s="120">
        <v>1</v>
      </c>
      <c r="D54" s="10" t="s">
        <v>97</v>
      </c>
      <c r="E54" s="46">
        <v>667221</v>
      </c>
      <c r="F54" s="46">
        <v>10117</v>
      </c>
      <c r="G54" s="110">
        <f t="shared" si="67"/>
        <v>456938</v>
      </c>
      <c r="H54" s="110">
        <f t="shared" si="68"/>
        <v>41124</v>
      </c>
      <c r="I54" s="115">
        <f t="shared" si="61"/>
        <v>913.88</v>
      </c>
      <c r="J54" s="116">
        <f t="shared" si="69"/>
        <v>287.87</v>
      </c>
      <c r="K54" s="117">
        <f t="shared" si="70"/>
        <v>20.5</v>
      </c>
      <c r="L54" s="118">
        <v>60</v>
      </c>
      <c r="M54" s="118">
        <f t="shared" si="62"/>
        <v>1282.25</v>
      </c>
      <c r="N54" s="41">
        <f t="shared" si="63"/>
        <v>913.88</v>
      </c>
      <c r="O54" s="117">
        <f t="shared" si="64"/>
        <v>130.55</v>
      </c>
      <c r="P54" s="117">
        <f t="shared" si="65"/>
        <v>261.11</v>
      </c>
      <c r="Q54" s="117">
        <f t="shared" si="66"/>
        <v>522.22</v>
      </c>
    </row>
    <row r="55" s="1" customFormat="1" ht="18" customHeight="1" spans="1:17">
      <c r="A55" s="10">
        <v>441324</v>
      </c>
      <c r="B55" s="10" t="s">
        <v>94</v>
      </c>
      <c r="C55" s="120">
        <v>0.85</v>
      </c>
      <c r="D55" s="10" t="s">
        <v>98</v>
      </c>
      <c r="E55" s="46">
        <v>163464</v>
      </c>
      <c r="F55" s="46">
        <v>1323</v>
      </c>
      <c r="G55" s="110">
        <f t="shared" si="67"/>
        <v>113102</v>
      </c>
      <c r="H55" s="110">
        <f t="shared" si="68"/>
        <v>10179</v>
      </c>
      <c r="I55" s="115">
        <f t="shared" si="61"/>
        <v>226.2</v>
      </c>
      <c r="J55" s="116">
        <f t="shared" si="69"/>
        <v>71.25</v>
      </c>
      <c r="K55" s="117">
        <f t="shared" si="70"/>
        <v>4.6</v>
      </c>
      <c r="L55" s="118">
        <v>60</v>
      </c>
      <c r="M55" s="118">
        <f t="shared" si="62"/>
        <v>362.05</v>
      </c>
      <c r="N55" s="41">
        <f t="shared" si="63"/>
        <v>226.2</v>
      </c>
      <c r="O55" s="117">
        <f t="shared" si="64"/>
        <v>32.31</v>
      </c>
      <c r="P55" s="117">
        <f t="shared" si="65"/>
        <v>64.63</v>
      </c>
      <c r="Q55" s="117">
        <f t="shared" si="66"/>
        <v>129.26</v>
      </c>
    </row>
    <row r="56" s="4" customFormat="1" ht="18" customHeight="1" spans="1:17">
      <c r="A56" s="22">
        <v>441400</v>
      </c>
      <c r="B56" s="22" t="s">
        <v>99</v>
      </c>
      <c r="C56" s="107"/>
      <c r="D56" s="23" t="s">
        <v>100</v>
      </c>
      <c r="E56" s="108">
        <f t="shared" ref="E56:Q56" si="71">SUM(E57:E63)</f>
        <v>1807860</v>
      </c>
      <c r="F56" s="108">
        <f t="shared" si="71"/>
        <v>132217</v>
      </c>
      <c r="G56" s="108">
        <f t="shared" si="71"/>
        <v>1133284</v>
      </c>
      <c r="H56" s="108">
        <f t="shared" si="71"/>
        <v>101996</v>
      </c>
      <c r="I56" s="114">
        <f t="shared" si="71"/>
        <v>2266.57</v>
      </c>
      <c r="J56" s="107">
        <f t="shared" si="71"/>
        <v>713.96</v>
      </c>
      <c r="K56" s="114">
        <f t="shared" si="71"/>
        <v>93.68</v>
      </c>
      <c r="L56" s="114">
        <f t="shared" si="71"/>
        <v>385</v>
      </c>
      <c r="M56" s="114">
        <f t="shared" si="71"/>
        <v>3459.21</v>
      </c>
      <c r="N56" s="114">
        <f t="shared" si="71"/>
        <v>2266.57</v>
      </c>
      <c r="O56" s="114">
        <f t="shared" si="71"/>
        <v>323.8</v>
      </c>
      <c r="P56" s="114">
        <f t="shared" si="71"/>
        <v>647.59</v>
      </c>
      <c r="Q56" s="114">
        <f t="shared" si="71"/>
        <v>1295.18</v>
      </c>
    </row>
    <row r="57" s="4" customFormat="1" ht="18" customHeight="1" spans="1:17">
      <c r="A57" s="22"/>
      <c r="B57" s="22"/>
      <c r="C57" s="120">
        <v>0.85</v>
      </c>
      <c r="D57" s="10" t="s">
        <v>58</v>
      </c>
      <c r="E57" s="108"/>
      <c r="F57" s="108"/>
      <c r="G57" s="108"/>
      <c r="H57" s="108"/>
      <c r="I57" s="115">
        <f t="shared" ref="I57:I63" si="72">ROUND(G57*20/10000,2)</f>
        <v>0</v>
      </c>
      <c r="J57" s="107">
        <v>0</v>
      </c>
      <c r="K57" s="117">
        <f>ROUND(H57*0.4*10/10000,2)</f>
        <v>0</v>
      </c>
      <c r="L57" s="118">
        <v>25</v>
      </c>
      <c r="M57" s="118">
        <f t="shared" ref="M57:M63" si="73">SUM(I57:L57)</f>
        <v>25</v>
      </c>
      <c r="N57" s="41">
        <f t="shared" ref="N57:N63" si="74">I57</f>
        <v>0</v>
      </c>
      <c r="O57" s="117">
        <f t="shared" ref="O57:O63" si="75">ROUND((E57-F57/0.7)*0.1*0.002,2)</f>
        <v>0</v>
      </c>
      <c r="P57" s="117">
        <f t="shared" ref="P57:P63" si="76">ROUND((E57-F57/0.7)*0.2*0.002,2)</f>
        <v>0</v>
      </c>
      <c r="Q57" s="117">
        <f t="shared" ref="Q57:Q63" si="77">N57-O57-P57</f>
        <v>0</v>
      </c>
    </row>
    <row r="58" s="1" customFormat="1" ht="18" customHeight="1" spans="1:17">
      <c r="A58" s="10">
        <v>441422</v>
      </c>
      <c r="B58" s="10" t="s">
        <v>99</v>
      </c>
      <c r="C58" s="120">
        <v>1</v>
      </c>
      <c r="D58" s="10" t="s">
        <v>101</v>
      </c>
      <c r="E58" s="46">
        <v>196859</v>
      </c>
      <c r="F58" s="46">
        <v>83282</v>
      </c>
      <c r="G58" s="110">
        <f t="shared" ref="G58:G63" si="78">ROUND(E58*0.7-F58,0)</f>
        <v>54519</v>
      </c>
      <c r="H58" s="110">
        <f t="shared" ref="H58:H63" si="79">ROUND(G58*0.09,0)</f>
        <v>4907</v>
      </c>
      <c r="I58" s="115">
        <f t="shared" si="72"/>
        <v>109.04</v>
      </c>
      <c r="J58" s="116">
        <f t="shared" ref="J58:J63" si="80">ROUND(G58*0.5*0.6*21/10000,2)</f>
        <v>34.35</v>
      </c>
      <c r="K58" s="117">
        <f t="shared" ref="K58:K63" si="81">ROUND((H58+F58)*0.4*10/10000,2)</f>
        <v>35.28</v>
      </c>
      <c r="L58" s="118">
        <v>60</v>
      </c>
      <c r="M58" s="118">
        <f t="shared" si="73"/>
        <v>238.67</v>
      </c>
      <c r="N58" s="41">
        <f t="shared" si="74"/>
        <v>109.04</v>
      </c>
      <c r="O58" s="117">
        <f t="shared" si="75"/>
        <v>15.58</v>
      </c>
      <c r="P58" s="117">
        <f t="shared" si="76"/>
        <v>31.15</v>
      </c>
      <c r="Q58" s="117">
        <f t="shared" si="77"/>
        <v>62.31</v>
      </c>
    </row>
    <row r="59" s="1" customFormat="1" ht="18" customHeight="1" spans="1:17">
      <c r="A59" s="10">
        <v>441423</v>
      </c>
      <c r="B59" s="10" t="s">
        <v>99</v>
      </c>
      <c r="C59" s="120">
        <v>1</v>
      </c>
      <c r="D59" s="10" t="s">
        <v>102</v>
      </c>
      <c r="E59" s="46">
        <v>295089</v>
      </c>
      <c r="F59" s="46">
        <v>9868</v>
      </c>
      <c r="G59" s="110">
        <f t="shared" si="78"/>
        <v>196694</v>
      </c>
      <c r="H59" s="110">
        <f t="shared" si="79"/>
        <v>17702</v>
      </c>
      <c r="I59" s="115">
        <f t="shared" si="72"/>
        <v>393.39</v>
      </c>
      <c r="J59" s="116">
        <f t="shared" si="80"/>
        <v>123.92</v>
      </c>
      <c r="K59" s="117">
        <f t="shared" si="81"/>
        <v>11.03</v>
      </c>
      <c r="L59" s="118">
        <v>60</v>
      </c>
      <c r="M59" s="118">
        <f t="shared" si="73"/>
        <v>588.34</v>
      </c>
      <c r="N59" s="41">
        <f t="shared" si="74"/>
        <v>393.39</v>
      </c>
      <c r="O59" s="117">
        <f t="shared" si="75"/>
        <v>56.2</v>
      </c>
      <c r="P59" s="117">
        <f t="shared" si="76"/>
        <v>112.4</v>
      </c>
      <c r="Q59" s="117">
        <f t="shared" si="77"/>
        <v>224.79</v>
      </c>
    </row>
    <row r="60" s="1" customFormat="1" ht="18" customHeight="1" spans="1:17">
      <c r="A60" s="10">
        <v>441424</v>
      </c>
      <c r="B60" s="10" t="s">
        <v>99</v>
      </c>
      <c r="C60" s="120">
        <v>1</v>
      </c>
      <c r="D60" s="10" t="s">
        <v>103</v>
      </c>
      <c r="E60" s="46">
        <v>621220</v>
      </c>
      <c r="F60" s="46">
        <v>4403</v>
      </c>
      <c r="G60" s="110">
        <f t="shared" si="78"/>
        <v>430451</v>
      </c>
      <c r="H60" s="110">
        <f t="shared" si="79"/>
        <v>38741</v>
      </c>
      <c r="I60" s="115">
        <f t="shared" si="72"/>
        <v>860.9</v>
      </c>
      <c r="J60" s="116">
        <f t="shared" si="80"/>
        <v>271.18</v>
      </c>
      <c r="K60" s="117">
        <f t="shared" si="81"/>
        <v>17.26</v>
      </c>
      <c r="L60" s="118">
        <v>60</v>
      </c>
      <c r="M60" s="118">
        <f t="shared" si="73"/>
        <v>1209.34</v>
      </c>
      <c r="N60" s="41">
        <f t="shared" si="74"/>
        <v>860.9</v>
      </c>
      <c r="O60" s="117">
        <f t="shared" si="75"/>
        <v>122.99</v>
      </c>
      <c r="P60" s="117">
        <f t="shared" si="76"/>
        <v>245.97</v>
      </c>
      <c r="Q60" s="117">
        <f t="shared" si="77"/>
        <v>491.94</v>
      </c>
    </row>
    <row r="61" s="1" customFormat="1" ht="18" customHeight="1" spans="1:17">
      <c r="A61" s="10">
        <v>441426</v>
      </c>
      <c r="B61" s="10" t="s">
        <v>99</v>
      </c>
      <c r="C61" s="120">
        <v>1</v>
      </c>
      <c r="D61" s="10" t="s">
        <v>104</v>
      </c>
      <c r="E61" s="46">
        <v>95316</v>
      </c>
      <c r="F61" s="46">
        <v>4651</v>
      </c>
      <c r="G61" s="110">
        <f t="shared" si="78"/>
        <v>62070</v>
      </c>
      <c r="H61" s="110">
        <f t="shared" si="79"/>
        <v>5586</v>
      </c>
      <c r="I61" s="115">
        <f t="shared" si="72"/>
        <v>124.14</v>
      </c>
      <c r="J61" s="116">
        <f t="shared" si="80"/>
        <v>39.1</v>
      </c>
      <c r="K61" s="117">
        <f t="shared" si="81"/>
        <v>4.09</v>
      </c>
      <c r="L61" s="118">
        <v>60</v>
      </c>
      <c r="M61" s="118">
        <f t="shared" si="73"/>
        <v>227.33</v>
      </c>
      <c r="N61" s="41">
        <f t="shared" si="74"/>
        <v>124.14</v>
      </c>
      <c r="O61" s="117">
        <f t="shared" si="75"/>
        <v>17.73</v>
      </c>
      <c r="P61" s="117">
        <f t="shared" si="76"/>
        <v>35.47</v>
      </c>
      <c r="Q61" s="117">
        <f t="shared" si="77"/>
        <v>70.94</v>
      </c>
    </row>
    <row r="62" s="1" customFormat="1" ht="18" customHeight="1" spans="1:17">
      <c r="A62" s="10">
        <v>441427</v>
      </c>
      <c r="B62" s="10" t="s">
        <v>99</v>
      </c>
      <c r="C62" s="120">
        <v>1</v>
      </c>
      <c r="D62" s="10" t="s">
        <v>105</v>
      </c>
      <c r="E62" s="46">
        <v>114227</v>
      </c>
      <c r="F62" s="46">
        <v>6528</v>
      </c>
      <c r="G62" s="110">
        <f t="shared" si="78"/>
        <v>73431</v>
      </c>
      <c r="H62" s="110">
        <f t="shared" si="79"/>
        <v>6609</v>
      </c>
      <c r="I62" s="115">
        <f t="shared" si="72"/>
        <v>146.86</v>
      </c>
      <c r="J62" s="116">
        <f t="shared" si="80"/>
        <v>46.26</v>
      </c>
      <c r="K62" s="117">
        <f t="shared" si="81"/>
        <v>5.25</v>
      </c>
      <c r="L62" s="118">
        <v>60</v>
      </c>
      <c r="M62" s="118">
        <f t="shared" si="73"/>
        <v>258.37</v>
      </c>
      <c r="N62" s="41">
        <f t="shared" si="74"/>
        <v>146.86</v>
      </c>
      <c r="O62" s="117">
        <f t="shared" si="75"/>
        <v>20.98</v>
      </c>
      <c r="P62" s="117">
        <f t="shared" si="76"/>
        <v>41.96</v>
      </c>
      <c r="Q62" s="117">
        <f t="shared" si="77"/>
        <v>83.92</v>
      </c>
    </row>
    <row r="63" s="1" customFormat="1" ht="18" customHeight="1" spans="1:17">
      <c r="A63" s="10">
        <v>441481</v>
      </c>
      <c r="B63" s="10" t="s">
        <v>99</v>
      </c>
      <c r="C63" s="120">
        <v>1</v>
      </c>
      <c r="D63" s="10" t="s">
        <v>106</v>
      </c>
      <c r="E63" s="46">
        <v>485149</v>
      </c>
      <c r="F63" s="46">
        <v>23485</v>
      </c>
      <c r="G63" s="110">
        <f t="shared" si="78"/>
        <v>316119</v>
      </c>
      <c r="H63" s="110">
        <f t="shared" si="79"/>
        <v>28451</v>
      </c>
      <c r="I63" s="115">
        <f t="shared" si="72"/>
        <v>632.24</v>
      </c>
      <c r="J63" s="116">
        <f t="shared" si="80"/>
        <v>199.15</v>
      </c>
      <c r="K63" s="117">
        <f t="shared" si="81"/>
        <v>20.77</v>
      </c>
      <c r="L63" s="118">
        <v>60</v>
      </c>
      <c r="M63" s="118">
        <f t="shared" si="73"/>
        <v>912.16</v>
      </c>
      <c r="N63" s="41">
        <f t="shared" si="74"/>
        <v>632.24</v>
      </c>
      <c r="O63" s="117">
        <f t="shared" si="75"/>
        <v>90.32</v>
      </c>
      <c r="P63" s="117">
        <f t="shared" si="76"/>
        <v>180.64</v>
      </c>
      <c r="Q63" s="117">
        <f t="shared" si="77"/>
        <v>361.28</v>
      </c>
    </row>
    <row r="64" s="4" customFormat="1" ht="18" customHeight="1" spans="1:17">
      <c r="A64" s="22">
        <v>441500</v>
      </c>
      <c r="B64" s="22" t="s">
        <v>107</v>
      </c>
      <c r="C64" s="107"/>
      <c r="D64" s="23" t="s">
        <v>108</v>
      </c>
      <c r="E64" s="108">
        <f t="shared" ref="E64:Q64" si="82">SUM(E65:E68)</f>
        <v>1301477</v>
      </c>
      <c r="F64" s="108">
        <f t="shared" si="82"/>
        <v>14324</v>
      </c>
      <c r="G64" s="108">
        <f t="shared" si="82"/>
        <v>896710</v>
      </c>
      <c r="H64" s="108">
        <f t="shared" si="82"/>
        <v>80704</v>
      </c>
      <c r="I64" s="114">
        <f t="shared" si="82"/>
        <v>1793.42</v>
      </c>
      <c r="J64" s="107">
        <f t="shared" si="82"/>
        <v>564.92</v>
      </c>
      <c r="K64" s="114">
        <f t="shared" si="82"/>
        <v>38.01</v>
      </c>
      <c r="L64" s="114">
        <f t="shared" si="82"/>
        <v>205</v>
      </c>
      <c r="M64" s="114">
        <f t="shared" si="82"/>
        <v>2601.35</v>
      </c>
      <c r="N64" s="114">
        <f t="shared" si="82"/>
        <v>1793.42</v>
      </c>
      <c r="O64" s="114">
        <f t="shared" si="82"/>
        <v>256.2</v>
      </c>
      <c r="P64" s="114">
        <f t="shared" si="82"/>
        <v>512.41</v>
      </c>
      <c r="Q64" s="114">
        <f t="shared" si="82"/>
        <v>1024.81</v>
      </c>
    </row>
    <row r="65" s="4" customFormat="1" ht="18" customHeight="1" spans="1:17">
      <c r="A65" s="22"/>
      <c r="B65" s="22"/>
      <c r="C65" s="120">
        <v>0.85</v>
      </c>
      <c r="D65" s="10" t="s">
        <v>58</v>
      </c>
      <c r="E65" s="108"/>
      <c r="F65" s="108"/>
      <c r="G65" s="108"/>
      <c r="H65" s="108"/>
      <c r="I65" s="115">
        <f t="shared" ref="I65:I68" si="83">ROUND(G65*20/10000,2)</f>
        <v>0</v>
      </c>
      <c r="J65" s="107">
        <v>0</v>
      </c>
      <c r="K65" s="117">
        <f>ROUND(H65*0.4*10/10000,2)</f>
        <v>0</v>
      </c>
      <c r="L65" s="118">
        <v>25</v>
      </c>
      <c r="M65" s="118">
        <f t="shared" ref="M65:M68" si="84">SUM(I65:L65)</f>
        <v>25</v>
      </c>
      <c r="N65" s="41">
        <f t="shared" ref="N65:N68" si="85">I65</f>
        <v>0</v>
      </c>
      <c r="O65" s="117">
        <f t="shared" ref="O65:O68" si="86">ROUND((E65-F65/0.7)*0.1*0.002,2)</f>
        <v>0</v>
      </c>
      <c r="P65" s="117">
        <f t="shared" ref="P65:P68" si="87">ROUND((E65-F65/0.7)*0.2*0.002,2)</f>
        <v>0</v>
      </c>
      <c r="Q65" s="117">
        <f t="shared" ref="Q65:Q68" si="88">N65-O65-P65</f>
        <v>0</v>
      </c>
    </row>
    <row r="66" s="1" customFormat="1" ht="18" customHeight="1" spans="1:17">
      <c r="A66" s="10">
        <v>441521</v>
      </c>
      <c r="B66" s="10" t="s">
        <v>107</v>
      </c>
      <c r="C66" s="120">
        <v>1</v>
      </c>
      <c r="D66" s="10" t="s">
        <v>109</v>
      </c>
      <c r="E66" s="46">
        <v>478182</v>
      </c>
      <c r="F66" s="46">
        <v>8214</v>
      </c>
      <c r="G66" s="110">
        <f t="shared" ref="G66:G68" si="89">ROUND(E66*0.7-F66,0)</f>
        <v>326513</v>
      </c>
      <c r="H66" s="110">
        <f t="shared" ref="H66:H68" si="90">ROUND(G66*0.09,0)</f>
        <v>29386</v>
      </c>
      <c r="I66" s="115">
        <f t="shared" si="83"/>
        <v>653.03</v>
      </c>
      <c r="J66" s="116">
        <f t="shared" ref="J66:J68" si="91">ROUND(G66*0.5*0.6*21/10000,2)</f>
        <v>205.7</v>
      </c>
      <c r="K66" s="117">
        <f t="shared" ref="K66:K68" si="92">ROUND((H66+F66)*0.4*10/10000,2)</f>
        <v>15.04</v>
      </c>
      <c r="L66" s="118">
        <v>60</v>
      </c>
      <c r="M66" s="118">
        <f t="shared" si="84"/>
        <v>933.77</v>
      </c>
      <c r="N66" s="41">
        <f t="shared" si="85"/>
        <v>653.03</v>
      </c>
      <c r="O66" s="117">
        <f t="shared" si="86"/>
        <v>93.29</v>
      </c>
      <c r="P66" s="117">
        <f t="shared" si="87"/>
        <v>186.58</v>
      </c>
      <c r="Q66" s="117">
        <f t="shared" si="88"/>
        <v>373.16</v>
      </c>
    </row>
    <row r="67" s="1" customFormat="1" ht="18" customHeight="1" spans="1:17">
      <c r="A67" s="10">
        <v>441523</v>
      </c>
      <c r="B67" s="10" t="s">
        <v>107</v>
      </c>
      <c r="C67" s="120">
        <v>1</v>
      </c>
      <c r="D67" s="10" t="s">
        <v>110</v>
      </c>
      <c r="E67" s="46">
        <v>100597</v>
      </c>
      <c r="F67" s="46">
        <v>368</v>
      </c>
      <c r="G67" s="110">
        <f t="shared" si="89"/>
        <v>70050</v>
      </c>
      <c r="H67" s="110">
        <f t="shared" si="90"/>
        <v>6305</v>
      </c>
      <c r="I67" s="115">
        <f t="shared" si="83"/>
        <v>140.1</v>
      </c>
      <c r="J67" s="116">
        <f t="shared" si="91"/>
        <v>44.13</v>
      </c>
      <c r="K67" s="117">
        <f t="shared" si="92"/>
        <v>2.67</v>
      </c>
      <c r="L67" s="118">
        <v>60</v>
      </c>
      <c r="M67" s="118">
        <f t="shared" si="84"/>
        <v>246.9</v>
      </c>
      <c r="N67" s="41">
        <f t="shared" si="85"/>
        <v>140.1</v>
      </c>
      <c r="O67" s="117">
        <f t="shared" si="86"/>
        <v>20.01</v>
      </c>
      <c r="P67" s="117">
        <f t="shared" si="87"/>
        <v>40.03</v>
      </c>
      <c r="Q67" s="117">
        <f t="shared" si="88"/>
        <v>80.06</v>
      </c>
    </row>
    <row r="68" s="1" customFormat="1" ht="18" customHeight="1" spans="1:17">
      <c r="A68" s="10">
        <v>441581</v>
      </c>
      <c r="B68" s="10" t="s">
        <v>107</v>
      </c>
      <c r="C68" s="120">
        <v>1</v>
      </c>
      <c r="D68" s="10" t="s">
        <v>111</v>
      </c>
      <c r="E68" s="46">
        <v>722698</v>
      </c>
      <c r="F68" s="46">
        <v>5742</v>
      </c>
      <c r="G68" s="110">
        <f t="shared" si="89"/>
        <v>500147</v>
      </c>
      <c r="H68" s="110">
        <f t="shared" si="90"/>
        <v>45013</v>
      </c>
      <c r="I68" s="115">
        <f t="shared" si="83"/>
        <v>1000.29</v>
      </c>
      <c r="J68" s="116">
        <f t="shared" si="91"/>
        <v>315.09</v>
      </c>
      <c r="K68" s="117">
        <f t="shared" si="92"/>
        <v>20.3</v>
      </c>
      <c r="L68" s="118">
        <v>60</v>
      </c>
      <c r="M68" s="118">
        <f t="shared" si="84"/>
        <v>1395.68</v>
      </c>
      <c r="N68" s="41">
        <f t="shared" si="85"/>
        <v>1000.29</v>
      </c>
      <c r="O68" s="117">
        <f t="shared" si="86"/>
        <v>142.9</v>
      </c>
      <c r="P68" s="117">
        <f t="shared" si="87"/>
        <v>285.8</v>
      </c>
      <c r="Q68" s="117">
        <f t="shared" si="88"/>
        <v>571.59</v>
      </c>
    </row>
    <row r="69" s="4" customFormat="1" ht="18" customHeight="1" spans="1:17">
      <c r="A69" s="22">
        <v>441600</v>
      </c>
      <c r="B69" s="22" t="s">
        <v>112</v>
      </c>
      <c r="C69" s="107"/>
      <c r="D69" s="23" t="s">
        <v>113</v>
      </c>
      <c r="E69" s="108">
        <f t="shared" ref="E69:Q69" si="93">SUM(E70:E75)</f>
        <v>1266965</v>
      </c>
      <c r="F69" s="108">
        <f t="shared" si="93"/>
        <v>54887</v>
      </c>
      <c r="G69" s="108">
        <f t="shared" si="93"/>
        <v>831987</v>
      </c>
      <c r="H69" s="108">
        <f t="shared" si="93"/>
        <v>74879</v>
      </c>
      <c r="I69" s="114">
        <f t="shared" si="93"/>
        <v>1663.97</v>
      </c>
      <c r="J69" s="107">
        <f t="shared" si="93"/>
        <v>524.16</v>
      </c>
      <c r="K69" s="114">
        <f t="shared" si="93"/>
        <v>51.92</v>
      </c>
      <c r="L69" s="114">
        <f t="shared" si="93"/>
        <v>325</v>
      </c>
      <c r="M69" s="114">
        <f t="shared" si="93"/>
        <v>2565.05</v>
      </c>
      <c r="N69" s="114">
        <f t="shared" si="93"/>
        <v>1663.97</v>
      </c>
      <c r="O69" s="114">
        <f t="shared" si="93"/>
        <v>237.71</v>
      </c>
      <c r="P69" s="114">
        <f t="shared" si="93"/>
        <v>475.43</v>
      </c>
      <c r="Q69" s="114">
        <f t="shared" si="93"/>
        <v>950.83</v>
      </c>
    </row>
    <row r="70" s="4" customFormat="1" ht="18" customHeight="1" spans="1:17">
      <c r="A70" s="22"/>
      <c r="B70" s="22"/>
      <c r="C70" s="120">
        <v>0.85</v>
      </c>
      <c r="D70" s="10" t="s">
        <v>58</v>
      </c>
      <c r="E70" s="108"/>
      <c r="F70" s="108"/>
      <c r="G70" s="108"/>
      <c r="H70" s="108"/>
      <c r="I70" s="115">
        <f t="shared" ref="I70:I75" si="94">ROUND(G70*20/10000,2)</f>
        <v>0</v>
      </c>
      <c r="J70" s="107">
        <v>0</v>
      </c>
      <c r="K70" s="117">
        <f>ROUND(H70*0.4*10/10000,2)</f>
        <v>0</v>
      </c>
      <c r="L70" s="118">
        <v>25</v>
      </c>
      <c r="M70" s="118">
        <f t="shared" ref="M70:M75" si="95">SUM(I70:L70)</f>
        <v>25</v>
      </c>
      <c r="N70" s="41">
        <f t="shared" ref="N70:N75" si="96">I70</f>
        <v>0</v>
      </c>
      <c r="O70" s="117">
        <f t="shared" ref="O70:O75" si="97">ROUND((E70-F70/0.7)*0.1*0.002,2)</f>
        <v>0</v>
      </c>
      <c r="P70" s="117">
        <f t="shared" ref="P70:P75" si="98">ROUND((E70-F70/0.7)*0.2*0.002,2)</f>
        <v>0</v>
      </c>
      <c r="Q70" s="117">
        <f t="shared" ref="Q70:Q75" si="99">N70-O70-P70</f>
        <v>0</v>
      </c>
    </row>
    <row r="71" s="1" customFormat="1" ht="18" customHeight="1" spans="1:17">
      <c r="A71" s="10">
        <v>441621</v>
      </c>
      <c r="B71" s="10" t="s">
        <v>112</v>
      </c>
      <c r="C71" s="120">
        <v>1</v>
      </c>
      <c r="D71" s="10" t="s">
        <v>114</v>
      </c>
      <c r="E71" s="46">
        <v>318346</v>
      </c>
      <c r="F71" s="46">
        <v>17222</v>
      </c>
      <c r="G71" s="110">
        <f t="shared" ref="G71:G75" si="100">ROUND(E71*0.7-F71,0)</f>
        <v>205620</v>
      </c>
      <c r="H71" s="110">
        <f t="shared" ref="H71:H75" si="101">ROUND(G71*0.09,0)</f>
        <v>18506</v>
      </c>
      <c r="I71" s="115">
        <f t="shared" si="94"/>
        <v>411.24</v>
      </c>
      <c r="J71" s="116">
        <f t="shared" ref="J71:J75" si="102">ROUND(G71*0.5*0.6*21/10000,2)</f>
        <v>129.54</v>
      </c>
      <c r="K71" s="117">
        <f t="shared" ref="K71:K75" si="103">ROUND((H71+F71)*0.4*10/10000,2)</f>
        <v>14.29</v>
      </c>
      <c r="L71" s="118">
        <v>60</v>
      </c>
      <c r="M71" s="118">
        <f t="shared" si="95"/>
        <v>615.07</v>
      </c>
      <c r="N71" s="41">
        <f t="shared" si="96"/>
        <v>411.24</v>
      </c>
      <c r="O71" s="117">
        <f t="shared" si="97"/>
        <v>58.75</v>
      </c>
      <c r="P71" s="117">
        <f t="shared" si="98"/>
        <v>117.5</v>
      </c>
      <c r="Q71" s="117">
        <f t="shared" si="99"/>
        <v>234.99</v>
      </c>
    </row>
    <row r="72" s="1" customFormat="1" ht="18" customHeight="1" spans="1:17">
      <c r="A72" s="10">
        <v>441622</v>
      </c>
      <c r="B72" s="10" t="s">
        <v>112</v>
      </c>
      <c r="C72" s="120">
        <v>1</v>
      </c>
      <c r="D72" s="10" t="s">
        <v>115</v>
      </c>
      <c r="E72" s="46">
        <v>349329</v>
      </c>
      <c r="F72" s="46">
        <v>22814</v>
      </c>
      <c r="G72" s="110">
        <f t="shared" si="100"/>
        <v>221716</v>
      </c>
      <c r="H72" s="110">
        <f t="shared" si="101"/>
        <v>19954</v>
      </c>
      <c r="I72" s="115">
        <f t="shared" si="94"/>
        <v>443.43</v>
      </c>
      <c r="J72" s="116">
        <f t="shared" si="102"/>
        <v>139.68</v>
      </c>
      <c r="K72" s="117">
        <f t="shared" si="103"/>
        <v>17.11</v>
      </c>
      <c r="L72" s="118">
        <v>60</v>
      </c>
      <c r="M72" s="118">
        <f t="shared" si="95"/>
        <v>660.22</v>
      </c>
      <c r="N72" s="41">
        <f t="shared" si="96"/>
        <v>443.43</v>
      </c>
      <c r="O72" s="117">
        <f t="shared" si="97"/>
        <v>63.35</v>
      </c>
      <c r="P72" s="117">
        <f t="shared" si="98"/>
        <v>126.7</v>
      </c>
      <c r="Q72" s="117">
        <f t="shared" si="99"/>
        <v>253.38</v>
      </c>
    </row>
    <row r="73" s="1" customFormat="1" ht="18" customHeight="1" spans="1:17">
      <c r="A73" s="10">
        <v>441623</v>
      </c>
      <c r="B73" s="10" t="s">
        <v>112</v>
      </c>
      <c r="C73" s="120">
        <v>1</v>
      </c>
      <c r="D73" s="10" t="s">
        <v>116</v>
      </c>
      <c r="E73" s="46">
        <v>176812</v>
      </c>
      <c r="F73" s="46">
        <v>6236</v>
      </c>
      <c r="G73" s="110">
        <f t="shared" si="100"/>
        <v>117532</v>
      </c>
      <c r="H73" s="110">
        <f t="shared" si="101"/>
        <v>10578</v>
      </c>
      <c r="I73" s="115">
        <f t="shared" si="94"/>
        <v>235.06</v>
      </c>
      <c r="J73" s="116">
        <f t="shared" si="102"/>
        <v>74.05</v>
      </c>
      <c r="K73" s="117">
        <f t="shared" si="103"/>
        <v>6.73</v>
      </c>
      <c r="L73" s="118">
        <v>60</v>
      </c>
      <c r="M73" s="118">
        <f t="shared" si="95"/>
        <v>375.84</v>
      </c>
      <c r="N73" s="41">
        <f t="shared" si="96"/>
        <v>235.06</v>
      </c>
      <c r="O73" s="117">
        <f t="shared" si="97"/>
        <v>33.58</v>
      </c>
      <c r="P73" s="117">
        <f t="shared" si="98"/>
        <v>67.16</v>
      </c>
      <c r="Q73" s="117">
        <f t="shared" si="99"/>
        <v>134.32</v>
      </c>
    </row>
    <row r="74" s="1" customFormat="1" ht="18" customHeight="1" spans="1:17">
      <c r="A74" s="10">
        <v>441624</v>
      </c>
      <c r="B74" s="10" t="s">
        <v>112</v>
      </c>
      <c r="C74" s="120">
        <v>1</v>
      </c>
      <c r="D74" s="10" t="s">
        <v>117</v>
      </c>
      <c r="E74" s="46">
        <v>207762</v>
      </c>
      <c r="F74" s="46">
        <v>2169</v>
      </c>
      <c r="G74" s="110">
        <f t="shared" si="100"/>
        <v>143264</v>
      </c>
      <c r="H74" s="110">
        <f t="shared" si="101"/>
        <v>12894</v>
      </c>
      <c r="I74" s="115">
        <f t="shared" si="94"/>
        <v>286.53</v>
      </c>
      <c r="J74" s="116">
        <f t="shared" si="102"/>
        <v>90.26</v>
      </c>
      <c r="K74" s="117">
        <f t="shared" si="103"/>
        <v>6.03</v>
      </c>
      <c r="L74" s="118">
        <v>60</v>
      </c>
      <c r="M74" s="118">
        <f t="shared" si="95"/>
        <v>442.82</v>
      </c>
      <c r="N74" s="41">
        <f t="shared" si="96"/>
        <v>286.53</v>
      </c>
      <c r="O74" s="117">
        <f t="shared" si="97"/>
        <v>40.93</v>
      </c>
      <c r="P74" s="117">
        <f t="shared" si="98"/>
        <v>81.87</v>
      </c>
      <c r="Q74" s="117">
        <f t="shared" si="99"/>
        <v>163.73</v>
      </c>
    </row>
    <row r="75" s="1" customFormat="1" ht="18" customHeight="1" spans="1:17">
      <c r="A75" s="10">
        <v>441625</v>
      </c>
      <c r="B75" s="10" t="s">
        <v>112</v>
      </c>
      <c r="C75" s="120">
        <v>0.85</v>
      </c>
      <c r="D75" s="10" t="s">
        <v>118</v>
      </c>
      <c r="E75" s="46">
        <v>214716</v>
      </c>
      <c r="F75" s="46">
        <v>6446</v>
      </c>
      <c r="G75" s="110">
        <f t="shared" si="100"/>
        <v>143855</v>
      </c>
      <c r="H75" s="110">
        <f t="shared" si="101"/>
        <v>12947</v>
      </c>
      <c r="I75" s="115">
        <f t="shared" si="94"/>
        <v>287.71</v>
      </c>
      <c r="J75" s="116">
        <f t="shared" si="102"/>
        <v>90.63</v>
      </c>
      <c r="K75" s="117">
        <f t="shared" si="103"/>
        <v>7.76</v>
      </c>
      <c r="L75" s="118">
        <v>60</v>
      </c>
      <c r="M75" s="118">
        <f t="shared" si="95"/>
        <v>446.1</v>
      </c>
      <c r="N75" s="41">
        <f t="shared" si="96"/>
        <v>287.71</v>
      </c>
      <c r="O75" s="117">
        <f t="shared" si="97"/>
        <v>41.1</v>
      </c>
      <c r="P75" s="117">
        <f t="shared" si="98"/>
        <v>82.2</v>
      </c>
      <c r="Q75" s="117">
        <f t="shared" si="99"/>
        <v>164.41</v>
      </c>
    </row>
    <row r="76" s="4" customFormat="1" ht="18" customHeight="1" spans="1:17">
      <c r="A76" s="22">
        <v>441700</v>
      </c>
      <c r="B76" s="22" t="s">
        <v>119</v>
      </c>
      <c r="C76" s="107"/>
      <c r="D76" s="23" t="s">
        <v>120</v>
      </c>
      <c r="E76" s="108">
        <f t="shared" ref="E76:Q76" si="104">SUM(E77:E79)</f>
        <v>859387</v>
      </c>
      <c r="F76" s="108">
        <f t="shared" si="104"/>
        <v>44882</v>
      </c>
      <c r="G76" s="108">
        <f t="shared" si="104"/>
        <v>556689</v>
      </c>
      <c r="H76" s="108">
        <f t="shared" si="104"/>
        <v>50102</v>
      </c>
      <c r="I76" s="114">
        <f t="shared" si="104"/>
        <v>1113.38</v>
      </c>
      <c r="J76" s="107">
        <f t="shared" si="104"/>
        <v>350.72</v>
      </c>
      <c r="K76" s="114">
        <f t="shared" si="104"/>
        <v>37.99</v>
      </c>
      <c r="L76" s="114">
        <f t="shared" si="104"/>
        <v>145</v>
      </c>
      <c r="M76" s="114">
        <f t="shared" si="104"/>
        <v>1647.09</v>
      </c>
      <c r="N76" s="114">
        <f t="shared" si="104"/>
        <v>1113.38</v>
      </c>
      <c r="O76" s="114">
        <f t="shared" si="104"/>
        <v>159.05</v>
      </c>
      <c r="P76" s="114">
        <f t="shared" si="104"/>
        <v>318.11</v>
      </c>
      <c r="Q76" s="114">
        <f t="shared" si="104"/>
        <v>636.22</v>
      </c>
    </row>
    <row r="77" s="4" customFormat="1" ht="18" customHeight="1" spans="1:17">
      <c r="A77" s="22"/>
      <c r="B77" s="22"/>
      <c r="C77" s="120">
        <v>0.85</v>
      </c>
      <c r="D77" s="10" t="s">
        <v>58</v>
      </c>
      <c r="E77" s="108"/>
      <c r="F77" s="108"/>
      <c r="G77" s="108"/>
      <c r="H77" s="108"/>
      <c r="I77" s="115">
        <f t="shared" ref="I77:I79" si="105">ROUND(G77*20/10000,2)</f>
        <v>0</v>
      </c>
      <c r="J77" s="107">
        <v>0</v>
      </c>
      <c r="K77" s="117">
        <f>ROUND(H77*0.4*10/10000,2)</f>
        <v>0</v>
      </c>
      <c r="L77" s="118">
        <v>25</v>
      </c>
      <c r="M77" s="118">
        <f t="shared" ref="M77:M79" si="106">SUM(I77:L77)</f>
        <v>25</v>
      </c>
      <c r="N77" s="41">
        <f t="shared" ref="N77:N79" si="107">I77</f>
        <v>0</v>
      </c>
      <c r="O77" s="117">
        <f t="shared" ref="O77:O79" si="108">ROUND((E77-F77/0.7)*0.1*0.002,2)</f>
        <v>0</v>
      </c>
      <c r="P77" s="117">
        <f t="shared" ref="P77:P79" si="109">ROUND((E77-F77/0.7)*0.2*0.002,2)</f>
        <v>0</v>
      </c>
      <c r="Q77" s="117">
        <f t="shared" ref="Q77:Q79" si="110">N77-O77-P77</f>
        <v>0</v>
      </c>
    </row>
    <row r="78" s="1" customFormat="1" ht="18" customHeight="1" spans="1:17">
      <c r="A78" s="10">
        <v>441721</v>
      </c>
      <c r="B78" s="10" t="s">
        <v>119</v>
      </c>
      <c r="C78" s="120">
        <v>0.85</v>
      </c>
      <c r="D78" s="10" t="s">
        <v>121</v>
      </c>
      <c r="E78" s="46">
        <v>298294</v>
      </c>
      <c r="F78" s="46">
        <v>10447</v>
      </c>
      <c r="G78" s="110">
        <f t="shared" ref="G78:G87" si="111">ROUND(E78*0.7-F78,0)</f>
        <v>198359</v>
      </c>
      <c r="H78" s="110">
        <f t="shared" ref="H78:H87" si="112">ROUND(G78*0.09,0)</f>
        <v>17852</v>
      </c>
      <c r="I78" s="115">
        <f t="shared" si="105"/>
        <v>396.72</v>
      </c>
      <c r="J78" s="116">
        <f t="shared" ref="J78:J87" si="113">ROUND(G78*0.5*0.6*21/10000,2)</f>
        <v>124.97</v>
      </c>
      <c r="K78" s="117">
        <f t="shared" ref="K78:K87" si="114">ROUND((H78+F78)*0.4*10/10000,2)</f>
        <v>11.32</v>
      </c>
      <c r="L78" s="118">
        <v>60</v>
      </c>
      <c r="M78" s="118">
        <f t="shared" si="106"/>
        <v>593.01</v>
      </c>
      <c r="N78" s="41">
        <f t="shared" si="107"/>
        <v>396.72</v>
      </c>
      <c r="O78" s="117">
        <f t="shared" si="108"/>
        <v>56.67</v>
      </c>
      <c r="P78" s="117">
        <f t="shared" si="109"/>
        <v>113.35</v>
      </c>
      <c r="Q78" s="117">
        <f t="shared" si="110"/>
        <v>226.7</v>
      </c>
    </row>
    <row r="79" s="1" customFormat="1" ht="18" customHeight="1" spans="1:17">
      <c r="A79" s="10">
        <v>441781</v>
      </c>
      <c r="B79" s="10" t="s">
        <v>119</v>
      </c>
      <c r="C79" s="120">
        <v>0.85</v>
      </c>
      <c r="D79" s="10" t="s">
        <v>122</v>
      </c>
      <c r="E79" s="46">
        <v>561093</v>
      </c>
      <c r="F79" s="46">
        <v>34435</v>
      </c>
      <c r="G79" s="110">
        <f t="shared" si="111"/>
        <v>358330</v>
      </c>
      <c r="H79" s="110">
        <f t="shared" si="112"/>
        <v>32250</v>
      </c>
      <c r="I79" s="115">
        <f t="shared" si="105"/>
        <v>716.66</v>
      </c>
      <c r="J79" s="116">
        <f t="shared" si="113"/>
        <v>225.75</v>
      </c>
      <c r="K79" s="117">
        <f t="shared" si="114"/>
        <v>26.67</v>
      </c>
      <c r="L79" s="118">
        <v>60</v>
      </c>
      <c r="M79" s="118">
        <f t="shared" si="106"/>
        <v>1029.08</v>
      </c>
      <c r="N79" s="41">
        <f t="shared" si="107"/>
        <v>716.66</v>
      </c>
      <c r="O79" s="117">
        <f t="shared" si="108"/>
        <v>102.38</v>
      </c>
      <c r="P79" s="117">
        <f t="shared" si="109"/>
        <v>204.76</v>
      </c>
      <c r="Q79" s="117">
        <f t="shared" si="110"/>
        <v>409.52</v>
      </c>
    </row>
    <row r="80" s="4" customFormat="1" ht="18" customHeight="1" spans="1:17">
      <c r="A80" s="22"/>
      <c r="B80" s="22"/>
      <c r="C80" s="107"/>
      <c r="D80" s="23" t="s">
        <v>123</v>
      </c>
      <c r="E80" s="108">
        <f t="shared" ref="E80:Q80" si="115">SUM(E81:E87)</f>
        <v>1262547</v>
      </c>
      <c r="F80" s="108">
        <f t="shared" si="115"/>
        <v>91745</v>
      </c>
      <c r="G80" s="108">
        <f t="shared" si="115"/>
        <v>792039</v>
      </c>
      <c r="H80" s="108">
        <f t="shared" si="115"/>
        <v>71284</v>
      </c>
      <c r="I80" s="114">
        <f t="shared" si="115"/>
        <v>1584.08</v>
      </c>
      <c r="J80" s="107">
        <f t="shared" si="115"/>
        <v>498.98</v>
      </c>
      <c r="K80" s="114">
        <f t="shared" si="115"/>
        <v>65.21</v>
      </c>
      <c r="L80" s="114">
        <f t="shared" si="115"/>
        <v>385</v>
      </c>
      <c r="M80" s="114">
        <f t="shared" si="115"/>
        <v>2533.27</v>
      </c>
      <c r="N80" s="114">
        <f t="shared" si="115"/>
        <v>1584.08</v>
      </c>
      <c r="O80" s="114">
        <f t="shared" si="115"/>
        <v>226.3</v>
      </c>
      <c r="P80" s="114">
        <f t="shared" si="115"/>
        <v>452.58</v>
      </c>
      <c r="Q80" s="114">
        <f t="shared" si="115"/>
        <v>905.2</v>
      </c>
    </row>
    <row r="81" s="4" customFormat="1" ht="18" customHeight="1" spans="1:17">
      <c r="A81" s="22"/>
      <c r="B81" s="22"/>
      <c r="C81" s="120">
        <v>0.85</v>
      </c>
      <c r="D81" s="10" t="s">
        <v>58</v>
      </c>
      <c r="E81" s="108"/>
      <c r="F81" s="108"/>
      <c r="G81" s="108"/>
      <c r="H81" s="108"/>
      <c r="I81" s="115">
        <f t="shared" ref="I81:I87" si="116">ROUND(G81*20/10000,2)</f>
        <v>0</v>
      </c>
      <c r="J81" s="107">
        <v>0</v>
      </c>
      <c r="K81" s="117">
        <f>ROUND(H81*0.4*10/10000,2)</f>
        <v>0</v>
      </c>
      <c r="L81" s="118">
        <v>25</v>
      </c>
      <c r="M81" s="118">
        <f t="shared" ref="M81:M87" si="117">SUM(I81:L81)</f>
        <v>25</v>
      </c>
      <c r="N81" s="41">
        <f t="shared" ref="N81:N87" si="118">I81</f>
        <v>0</v>
      </c>
      <c r="O81" s="117">
        <f t="shared" ref="O81:O87" si="119">ROUND((E81-F81/0.7)*0.1*0.002,2)</f>
        <v>0</v>
      </c>
      <c r="P81" s="117">
        <f t="shared" ref="P81:P87" si="120">ROUND((E81-F81/0.7)*0.2*0.002,2)</f>
        <v>0</v>
      </c>
      <c r="Q81" s="117">
        <f t="shared" ref="Q81:Q87" si="121">N81-O81-P81</f>
        <v>0</v>
      </c>
    </row>
    <row r="82" s="1" customFormat="1" ht="18" customHeight="1" spans="1:17">
      <c r="A82" s="10">
        <v>441821</v>
      </c>
      <c r="B82" s="10" t="s">
        <v>124</v>
      </c>
      <c r="C82" s="120">
        <v>0.85</v>
      </c>
      <c r="D82" s="10" t="s">
        <v>125</v>
      </c>
      <c r="E82" s="46">
        <v>205323</v>
      </c>
      <c r="F82" s="46">
        <v>9832</v>
      </c>
      <c r="G82" s="110">
        <f t="shared" si="111"/>
        <v>133894</v>
      </c>
      <c r="H82" s="110">
        <f t="shared" si="112"/>
        <v>12050</v>
      </c>
      <c r="I82" s="115">
        <f t="shared" si="116"/>
        <v>267.79</v>
      </c>
      <c r="J82" s="116">
        <f t="shared" si="113"/>
        <v>84.35</v>
      </c>
      <c r="K82" s="117">
        <f t="shared" si="114"/>
        <v>8.75</v>
      </c>
      <c r="L82" s="118">
        <v>60</v>
      </c>
      <c r="M82" s="118">
        <f t="shared" si="117"/>
        <v>420.89</v>
      </c>
      <c r="N82" s="41">
        <f t="shared" si="118"/>
        <v>267.79</v>
      </c>
      <c r="O82" s="117">
        <f t="shared" si="119"/>
        <v>38.26</v>
      </c>
      <c r="P82" s="117">
        <f t="shared" si="120"/>
        <v>76.51</v>
      </c>
      <c r="Q82" s="117">
        <f t="shared" si="121"/>
        <v>153.02</v>
      </c>
    </row>
    <row r="83" s="1" customFormat="1" ht="18" customHeight="1" spans="1:17">
      <c r="A83" s="10">
        <v>441823</v>
      </c>
      <c r="B83" s="10" t="s">
        <v>124</v>
      </c>
      <c r="C83" s="120">
        <v>0.85</v>
      </c>
      <c r="D83" s="10" t="s">
        <v>126</v>
      </c>
      <c r="E83" s="46">
        <v>226254</v>
      </c>
      <c r="F83" s="46">
        <v>12905</v>
      </c>
      <c r="G83" s="110">
        <f t="shared" si="111"/>
        <v>145473</v>
      </c>
      <c r="H83" s="110">
        <f t="shared" si="112"/>
        <v>13093</v>
      </c>
      <c r="I83" s="115">
        <f t="shared" si="116"/>
        <v>290.95</v>
      </c>
      <c r="J83" s="116">
        <f t="shared" si="113"/>
        <v>91.65</v>
      </c>
      <c r="K83" s="117">
        <f t="shared" si="114"/>
        <v>10.4</v>
      </c>
      <c r="L83" s="118">
        <v>60</v>
      </c>
      <c r="M83" s="118">
        <f t="shared" si="117"/>
        <v>453</v>
      </c>
      <c r="N83" s="41">
        <f t="shared" si="118"/>
        <v>290.95</v>
      </c>
      <c r="O83" s="117">
        <f t="shared" si="119"/>
        <v>41.56</v>
      </c>
      <c r="P83" s="117">
        <f t="shared" si="120"/>
        <v>83.13</v>
      </c>
      <c r="Q83" s="117">
        <f t="shared" si="121"/>
        <v>166.26</v>
      </c>
    </row>
    <row r="84" s="1" customFormat="1" ht="18" customHeight="1" spans="1:17">
      <c r="A84" s="10">
        <v>441825</v>
      </c>
      <c r="B84" s="10" t="s">
        <v>124</v>
      </c>
      <c r="C84" s="120">
        <v>1</v>
      </c>
      <c r="D84" s="10" t="s">
        <v>127</v>
      </c>
      <c r="E84" s="46">
        <v>52535</v>
      </c>
      <c r="F84" s="46">
        <v>931</v>
      </c>
      <c r="G84" s="110">
        <f t="shared" si="111"/>
        <v>35844</v>
      </c>
      <c r="H84" s="110">
        <f t="shared" si="112"/>
        <v>3226</v>
      </c>
      <c r="I84" s="115">
        <f t="shared" si="116"/>
        <v>71.69</v>
      </c>
      <c r="J84" s="116">
        <f t="shared" si="113"/>
        <v>22.58</v>
      </c>
      <c r="K84" s="117">
        <f t="shared" si="114"/>
        <v>1.66</v>
      </c>
      <c r="L84" s="118">
        <v>60</v>
      </c>
      <c r="M84" s="118">
        <f t="shared" si="117"/>
        <v>155.93</v>
      </c>
      <c r="N84" s="41">
        <f t="shared" si="118"/>
        <v>71.69</v>
      </c>
      <c r="O84" s="117">
        <f t="shared" si="119"/>
        <v>10.24</v>
      </c>
      <c r="P84" s="117">
        <f t="shared" si="120"/>
        <v>20.48</v>
      </c>
      <c r="Q84" s="117">
        <f t="shared" si="121"/>
        <v>40.97</v>
      </c>
    </row>
    <row r="85" s="1" customFormat="1" ht="18" customHeight="1" spans="1:17">
      <c r="A85" s="10">
        <v>441826</v>
      </c>
      <c r="B85" s="10" t="s">
        <v>124</v>
      </c>
      <c r="C85" s="120">
        <v>1</v>
      </c>
      <c r="D85" s="10" t="s">
        <v>128</v>
      </c>
      <c r="E85" s="46">
        <v>66948</v>
      </c>
      <c r="F85" s="46">
        <v>6274</v>
      </c>
      <c r="G85" s="110">
        <f t="shared" si="111"/>
        <v>40590</v>
      </c>
      <c r="H85" s="110">
        <f t="shared" si="112"/>
        <v>3653</v>
      </c>
      <c r="I85" s="115">
        <f t="shared" si="116"/>
        <v>81.18</v>
      </c>
      <c r="J85" s="116">
        <f t="shared" si="113"/>
        <v>25.57</v>
      </c>
      <c r="K85" s="117">
        <f t="shared" si="114"/>
        <v>3.97</v>
      </c>
      <c r="L85" s="118">
        <v>60</v>
      </c>
      <c r="M85" s="118">
        <f t="shared" si="117"/>
        <v>170.72</v>
      </c>
      <c r="N85" s="41">
        <f t="shared" si="118"/>
        <v>81.18</v>
      </c>
      <c r="O85" s="117">
        <f t="shared" si="119"/>
        <v>11.6</v>
      </c>
      <c r="P85" s="117">
        <f t="shared" si="120"/>
        <v>23.19</v>
      </c>
      <c r="Q85" s="117">
        <f t="shared" si="121"/>
        <v>46.39</v>
      </c>
    </row>
    <row r="86" s="1" customFormat="1" ht="18" customHeight="1" spans="1:17">
      <c r="A86" s="10">
        <v>441881</v>
      </c>
      <c r="B86" s="10" t="s">
        <v>124</v>
      </c>
      <c r="C86" s="120">
        <v>0.85</v>
      </c>
      <c r="D86" s="10" t="s">
        <v>129</v>
      </c>
      <c r="E86" s="46">
        <v>481427</v>
      </c>
      <c r="F86" s="46">
        <v>33857</v>
      </c>
      <c r="G86" s="110">
        <f t="shared" si="111"/>
        <v>303142</v>
      </c>
      <c r="H86" s="110">
        <f t="shared" si="112"/>
        <v>27283</v>
      </c>
      <c r="I86" s="115">
        <f t="shared" si="116"/>
        <v>606.28</v>
      </c>
      <c r="J86" s="116">
        <f t="shared" si="113"/>
        <v>190.98</v>
      </c>
      <c r="K86" s="117">
        <f t="shared" si="114"/>
        <v>24.46</v>
      </c>
      <c r="L86" s="118">
        <v>60</v>
      </c>
      <c r="M86" s="118">
        <f t="shared" si="117"/>
        <v>881.72</v>
      </c>
      <c r="N86" s="41">
        <f t="shared" si="118"/>
        <v>606.28</v>
      </c>
      <c r="O86" s="117">
        <f t="shared" si="119"/>
        <v>86.61</v>
      </c>
      <c r="P86" s="117">
        <f t="shared" si="120"/>
        <v>173.22</v>
      </c>
      <c r="Q86" s="117">
        <f t="shared" si="121"/>
        <v>346.45</v>
      </c>
    </row>
    <row r="87" s="1" customFormat="1" ht="18" customHeight="1" spans="1:17">
      <c r="A87" s="10">
        <v>441882</v>
      </c>
      <c r="B87" s="10" t="s">
        <v>124</v>
      </c>
      <c r="C87" s="120">
        <v>0.85</v>
      </c>
      <c r="D87" s="10" t="s">
        <v>130</v>
      </c>
      <c r="E87" s="46">
        <v>230060</v>
      </c>
      <c r="F87" s="46">
        <v>27946</v>
      </c>
      <c r="G87" s="110">
        <f t="shared" si="111"/>
        <v>133096</v>
      </c>
      <c r="H87" s="110">
        <f t="shared" si="112"/>
        <v>11979</v>
      </c>
      <c r="I87" s="115">
        <f t="shared" si="116"/>
        <v>266.19</v>
      </c>
      <c r="J87" s="116">
        <f t="shared" si="113"/>
        <v>83.85</v>
      </c>
      <c r="K87" s="117">
        <f t="shared" si="114"/>
        <v>15.97</v>
      </c>
      <c r="L87" s="118">
        <v>60</v>
      </c>
      <c r="M87" s="118">
        <f t="shared" si="117"/>
        <v>426.01</v>
      </c>
      <c r="N87" s="41">
        <f t="shared" si="118"/>
        <v>266.19</v>
      </c>
      <c r="O87" s="117">
        <f t="shared" si="119"/>
        <v>38.03</v>
      </c>
      <c r="P87" s="117">
        <f t="shared" si="120"/>
        <v>76.05</v>
      </c>
      <c r="Q87" s="117">
        <f t="shared" si="121"/>
        <v>152.11</v>
      </c>
    </row>
    <row r="88" s="4" customFormat="1" ht="18" customHeight="1" spans="1:17">
      <c r="A88" s="22">
        <v>445100</v>
      </c>
      <c r="B88" s="22" t="s">
        <v>131</v>
      </c>
      <c r="C88" s="107"/>
      <c r="D88" s="23" t="s">
        <v>132</v>
      </c>
      <c r="E88" s="108">
        <f t="shared" ref="E88:Q88" si="122">SUM(E89:E90)</f>
        <v>577334</v>
      </c>
      <c r="F88" s="108">
        <f t="shared" si="122"/>
        <v>4652</v>
      </c>
      <c r="G88" s="108">
        <f t="shared" si="122"/>
        <v>399482</v>
      </c>
      <c r="H88" s="108">
        <f t="shared" si="122"/>
        <v>35953</v>
      </c>
      <c r="I88" s="114">
        <f t="shared" si="122"/>
        <v>798.96</v>
      </c>
      <c r="J88" s="107">
        <f t="shared" si="122"/>
        <v>251.67</v>
      </c>
      <c r="K88" s="114">
        <f t="shared" si="122"/>
        <v>16.24</v>
      </c>
      <c r="L88" s="114">
        <f t="shared" si="122"/>
        <v>85</v>
      </c>
      <c r="M88" s="114">
        <f t="shared" si="122"/>
        <v>1151.87</v>
      </c>
      <c r="N88" s="114">
        <f t="shared" si="122"/>
        <v>798.96</v>
      </c>
      <c r="O88" s="114">
        <f t="shared" si="122"/>
        <v>114.14</v>
      </c>
      <c r="P88" s="114">
        <f t="shared" si="122"/>
        <v>228.28</v>
      </c>
      <c r="Q88" s="114">
        <f t="shared" si="122"/>
        <v>456.54</v>
      </c>
    </row>
    <row r="89" s="4" customFormat="1" ht="18" customHeight="1" spans="1:17">
      <c r="A89" s="22"/>
      <c r="B89" s="22"/>
      <c r="C89" s="120">
        <v>0.85</v>
      </c>
      <c r="D89" s="10" t="s">
        <v>58</v>
      </c>
      <c r="E89" s="108"/>
      <c r="F89" s="108"/>
      <c r="G89" s="108"/>
      <c r="H89" s="108"/>
      <c r="I89" s="115">
        <f t="shared" ref="I89:I95" si="123">ROUND(G89*20/10000,2)</f>
        <v>0</v>
      </c>
      <c r="J89" s="107">
        <v>0</v>
      </c>
      <c r="K89" s="117">
        <f>ROUND(H89*0.4*10/10000,2)</f>
        <v>0</v>
      </c>
      <c r="L89" s="118">
        <v>25</v>
      </c>
      <c r="M89" s="118">
        <f t="shared" ref="M89:M95" si="124">SUM(I89:L89)</f>
        <v>25</v>
      </c>
      <c r="N89" s="41">
        <f t="shared" ref="N89:N95" si="125">I89</f>
        <v>0</v>
      </c>
      <c r="O89" s="41">
        <v>0</v>
      </c>
      <c r="P89" s="41">
        <v>0</v>
      </c>
      <c r="Q89" s="41">
        <v>0</v>
      </c>
    </row>
    <row r="90" s="1" customFormat="1" ht="18" customHeight="1" spans="1:17">
      <c r="A90" s="10">
        <v>445122</v>
      </c>
      <c r="B90" s="10" t="s">
        <v>131</v>
      </c>
      <c r="C90" s="120">
        <v>1</v>
      </c>
      <c r="D90" s="10" t="s">
        <v>133</v>
      </c>
      <c r="E90" s="46">
        <v>577334</v>
      </c>
      <c r="F90" s="46">
        <v>4652</v>
      </c>
      <c r="G90" s="110">
        <f t="shared" ref="G90:G95" si="126">ROUND(E90*0.7-F90,0)</f>
        <v>399482</v>
      </c>
      <c r="H90" s="110">
        <f t="shared" ref="H90:H95" si="127">ROUND(G90*0.09,0)</f>
        <v>35953</v>
      </c>
      <c r="I90" s="115">
        <f t="shared" si="123"/>
        <v>798.96</v>
      </c>
      <c r="J90" s="116">
        <f t="shared" ref="J90:J95" si="128">ROUND(G90*0.5*0.6*21/10000,2)</f>
        <v>251.67</v>
      </c>
      <c r="K90" s="117">
        <f t="shared" ref="K90:K95" si="129">ROUND((H90+F90)*0.4*10/10000,2)</f>
        <v>16.24</v>
      </c>
      <c r="L90" s="118">
        <v>60</v>
      </c>
      <c r="M90" s="118">
        <f t="shared" si="124"/>
        <v>1126.87</v>
      </c>
      <c r="N90" s="41">
        <f t="shared" si="125"/>
        <v>798.96</v>
      </c>
      <c r="O90" s="117">
        <f t="shared" ref="O90:O95" si="130">ROUND((E90-F90/0.7)*0.1*0.002,2)</f>
        <v>114.14</v>
      </c>
      <c r="P90" s="117">
        <f t="shared" ref="P90:P95" si="131">ROUND((E90-F90/0.7)*0.2*0.002,2)</f>
        <v>228.28</v>
      </c>
      <c r="Q90" s="117">
        <f t="shared" ref="Q90:Q95" si="132">N90-O90-P90</f>
        <v>456.54</v>
      </c>
    </row>
    <row r="91" s="4" customFormat="1" ht="18" customHeight="1" spans="1:17">
      <c r="A91" s="22">
        <v>445200</v>
      </c>
      <c r="B91" s="22" t="s">
        <v>134</v>
      </c>
      <c r="C91" s="107"/>
      <c r="D91" s="23" t="s">
        <v>135</v>
      </c>
      <c r="E91" s="108">
        <f t="shared" ref="E91:Q91" si="133">SUM(E92:E95)</f>
        <v>1945919</v>
      </c>
      <c r="F91" s="108">
        <f t="shared" si="133"/>
        <v>13897</v>
      </c>
      <c r="G91" s="108">
        <f t="shared" si="133"/>
        <v>1348247</v>
      </c>
      <c r="H91" s="108">
        <f t="shared" si="133"/>
        <v>121343</v>
      </c>
      <c r="I91" s="114">
        <f t="shared" si="133"/>
        <v>2696.5</v>
      </c>
      <c r="J91" s="107">
        <f t="shared" si="133"/>
        <v>849.4</v>
      </c>
      <c r="K91" s="114">
        <f t="shared" si="133"/>
        <v>54.09</v>
      </c>
      <c r="L91" s="114">
        <f t="shared" si="133"/>
        <v>205</v>
      </c>
      <c r="M91" s="114">
        <f t="shared" si="133"/>
        <v>3804.99</v>
      </c>
      <c r="N91" s="114">
        <f t="shared" si="133"/>
        <v>2696.5</v>
      </c>
      <c r="O91" s="114">
        <f t="shared" si="133"/>
        <v>385.21</v>
      </c>
      <c r="P91" s="114">
        <f t="shared" si="133"/>
        <v>770.43</v>
      </c>
      <c r="Q91" s="114">
        <f t="shared" si="133"/>
        <v>1540.86</v>
      </c>
    </row>
    <row r="92" s="4" customFormat="1" ht="18" customHeight="1" spans="1:17">
      <c r="A92" s="22"/>
      <c r="B92" s="22"/>
      <c r="C92" s="120">
        <v>0.85</v>
      </c>
      <c r="D92" s="10" t="s">
        <v>58</v>
      </c>
      <c r="E92" s="108"/>
      <c r="F92" s="108"/>
      <c r="G92" s="108"/>
      <c r="H92" s="108"/>
      <c r="I92" s="115">
        <f t="shared" si="123"/>
        <v>0</v>
      </c>
      <c r="J92" s="107">
        <v>0</v>
      </c>
      <c r="K92" s="117">
        <f>ROUND(H92*0.4*10/10000,2)</f>
        <v>0</v>
      </c>
      <c r="L92" s="118">
        <v>25</v>
      </c>
      <c r="M92" s="118">
        <f t="shared" si="124"/>
        <v>25</v>
      </c>
      <c r="N92" s="41">
        <f t="shared" si="125"/>
        <v>0</v>
      </c>
      <c r="O92" s="117">
        <f t="shared" si="130"/>
        <v>0</v>
      </c>
      <c r="P92" s="117">
        <f t="shared" si="131"/>
        <v>0</v>
      </c>
      <c r="Q92" s="117">
        <f t="shared" si="132"/>
        <v>0</v>
      </c>
    </row>
    <row r="93" s="1" customFormat="1" ht="18" customHeight="1" spans="1:17">
      <c r="A93" s="10">
        <v>445222</v>
      </c>
      <c r="B93" s="10" t="s">
        <v>134</v>
      </c>
      <c r="C93" s="120">
        <v>1</v>
      </c>
      <c r="D93" s="10" t="s">
        <v>136</v>
      </c>
      <c r="E93" s="46">
        <v>366294</v>
      </c>
      <c r="F93" s="46">
        <v>1978</v>
      </c>
      <c r="G93" s="110">
        <f t="shared" si="126"/>
        <v>254428</v>
      </c>
      <c r="H93" s="110">
        <f t="shared" si="127"/>
        <v>22899</v>
      </c>
      <c r="I93" s="115">
        <f t="shared" si="123"/>
        <v>508.86</v>
      </c>
      <c r="J93" s="116">
        <f t="shared" si="128"/>
        <v>160.29</v>
      </c>
      <c r="K93" s="117">
        <f t="shared" si="129"/>
        <v>9.95</v>
      </c>
      <c r="L93" s="118">
        <v>60</v>
      </c>
      <c r="M93" s="118">
        <f t="shared" si="124"/>
        <v>739.1</v>
      </c>
      <c r="N93" s="41">
        <f t="shared" si="125"/>
        <v>508.86</v>
      </c>
      <c r="O93" s="117">
        <f t="shared" si="130"/>
        <v>72.69</v>
      </c>
      <c r="P93" s="117">
        <f t="shared" si="131"/>
        <v>145.39</v>
      </c>
      <c r="Q93" s="117">
        <f t="shared" si="132"/>
        <v>290.78</v>
      </c>
    </row>
    <row r="94" s="1" customFormat="1" ht="18" customHeight="1" spans="1:17">
      <c r="A94" s="10">
        <v>445224</v>
      </c>
      <c r="B94" s="10" t="s">
        <v>134</v>
      </c>
      <c r="C94" s="120">
        <v>1</v>
      </c>
      <c r="D94" s="10" t="s">
        <v>137</v>
      </c>
      <c r="E94" s="46">
        <v>554985</v>
      </c>
      <c r="F94" s="46">
        <v>6284</v>
      </c>
      <c r="G94" s="110">
        <f t="shared" si="126"/>
        <v>382206</v>
      </c>
      <c r="H94" s="110">
        <f t="shared" si="127"/>
        <v>34399</v>
      </c>
      <c r="I94" s="115">
        <f t="shared" si="123"/>
        <v>764.41</v>
      </c>
      <c r="J94" s="116">
        <f t="shared" si="128"/>
        <v>240.79</v>
      </c>
      <c r="K94" s="117">
        <f t="shared" si="129"/>
        <v>16.27</v>
      </c>
      <c r="L94" s="118">
        <v>60</v>
      </c>
      <c r="M94" s="118">
        <f t="shared" si="124"/>
        <v>1081.47</v>
      </c>
      <c r="N94" s="41">
        <f t="shared" si="125"/>
        <v>764.41</v>
      </c>
      <c r="O94" s="117">
        <f t="shared" si="130"/>
        <v>109.2</v>
      </c>
      <c r="P94" s="117">
        <f t="shared" si="131"/>
        <v>218.4</v>
      </c>
      <c r="Q94" s="117">
        <f t="shared" si="132"/>
        <v>436.81</v>
      </c>
    </row>
    <row r="95" s="1" customFormat="1" ht="18" customHeight="1" spans="1:17">
      <c r="A95" s="10">
        <v>445281</v>
      </c>
      <c r="B95" s="10" t="s">
        <v>134</v>
      </c>
      <c r="C95" s="120">
        <v>1</v>
      </c>
      <c r="D95" s="10" t="s">
        <v>138</v>
      </c>
      <c r="E95" s="46">
        <v>1024640</v>
      </c>
      <c r="F95" s="46">
        <v>5635</v>
      </c>
      <c r="G95" s="110">
        <f t="shared" si="126"/>
        <v>711613</v>
      </c>
      <c r="H95" s="110">
        <f t="shared" si="127"/>
        <v>64045</v>
      </c>
      <c r="I95" s="115">
        <f t="shared" si="123"/>
        <v>1423.23</v>
      </c>
      <c r="J95" s="116">
        <f t="shared" si="128"/>
        <v>448.32</v>
      </c>
      <c r="K95" s="117">
        <f t="shared" si="129"/>
        <v>27.87</v>
      </c>
      <c r="L95" s="118">
        <v>60</v>
      </c>
      <c r="M95" s="118">
        <f t="shared" si="124"/>
        <v>1959.42</v>
      </c>
      <c r="N95" s="41">
        <f t="shared" si="125"/>
        <v>1423.23</v>
      </c>
      <c r="O95" s="117">
        <f t="shared" si="130"/>
        <v>203.32</v>
      </c>
      <c r="P95" s="117">
        <f t="shared" si="131"/>
        <v>406.64</v>
      </c>
      <c r="Q95" s="117">
        <f t="shared" si="132"/>
        <v>813.27</v>
      </c>
    </row>
    <row r="96" s="4" customFormat="1" ht="18" customHeight="1" spans="1:17">
      <c r="A96" s="22">
        <v>445300</v>
      </c>
      <c r="B96" s="22" t="s">
        <v>139</v>
      </c>
      <c r="C96" s="107"/>
      <c r="D96" s="23" t="s">
        <v>140</v>
      </c>
      <c r="E96" s="108">
        <f t="shared" ref="E96:Q96" si="134">SUM(E97:E100)</f>
        <v>942096</v>
      </c>
      <c r="F96" s="108">
        <f t="shared" si="134"/>
        <v>68637</v>
      </c>
      <c r="G96" s="108">
        <f t="shared" si="134"/>
        <v>590830</v>
      </c>
      <c r="H96" s="108">
        <f t="shared" si="134"/>
        <v>53175</v>
      </c>
      <c r="I96" s="114">
        <f t="shared" si="134"/>
        <v>1181.66</v>
      </c>
      <c r="J96" s="107">
        <f t="shared" si="134"/>
        <v>372.21</v>
      </c>
      <c r="K96" s="114">
        <f t="shared" si="134"/>
        <v>48.72</v>
      </c>
      <c r="L96" s="114">
        <f t="shared" si="134"/>
        <v>205</v>
      </c>
      <c r="M96" s="114">
        <f t="shared" si="134"/>
        <v>1807.59</v>
      </c>
      <c r="N96" s="114">
        <f t="shared" si="134"/>
        <v>1181.66</v>
      </c>
      <c r="O96" s="114">
        <f t="shared" si="134"/>
        <v>168.81</v>
      </c>
      <c r="P96" s="114">
        <f t="shared" si="134"/>
        <v>337.62</v>
      </c>
      <c r="Q96" s="114">
        <f t="shared" si="134"/>
        <v>675.23</v>
      </c>
    </row>
    <row r="97" s="4" customFormat="1" ht="18" customHeight="1" spans="1:17">
      <c r="A97" s="22"/>
      <c r="B97" s="22"/>
      <c r="C97" s="120">
        <v>0.85</v>
      </c>
      <c r="D97" s="10" t="s">
        <v>58</v>
      </c>
      <c r="E97" s="108"/>
      <c r="F97" s="108"/>
      <c r="G97" s="108"/>
      <c r="H97" s="108"/>
      <c r="I97" s="115">
        <f t="shared" ref="I97:I100" si="135">ROUND(G97*20/10000,2)</f>
        <v>0</v>
      </c>
      <c r="J97" s="107">
        <v>0</v>
      </c>
      <c r="K97" s="117">
        <f>ROUND(H97*0.4*10/10000,2)</f>
        <v>0</v>
      </c>
      <c r="L97" s="118">
        <v>25</v>
      </c>
      <c r="M97" s="118">
        <f t="shared" ref="M97:M100" si="136">SUM(I97:L97)</f>
        <v>25</v>
      </c>
      <c r="N97" s="41">
        <f t="shared" ref="N97:N100" si="137">I97</f>
        <v>0</v>
      </c>
      <c r="O97" s="117">
        <f t="shared" ref="O97:O100" si="138">ROUND((E97-F97/0.7)*0.1*0.002,2)</f>
        <v>0</v>
      </c>
      <c r="P97" s="117">
        <f t="shared" ref="P97:P100" si="139">ROUND((E97-F97/0.7)*0.2*0.002,2)</f>
        <v>0</v>
      </c>
      <c r="Q97" s="117">
        <f t="shared" ref="Q97:Q100" si="140">N97-O97-P97</f>
        <v>0</v>
      </c>
    </row>
    <row r="98" s="1" customFormat="1" ht="18" customHeight="1" spans="1:17">
      <c r="A98" s="10">
        <v>445321</v>
      </c>
      <c r="B98" s="10" t="s">
        <v>139</v>
      </c>
      <c r="C98" s="120">
        <v>0.85</v>
      </c>
      <c r="D98" s="10" t="s">
        <v>141</v>
      </c>
      <c r="E98" s="46">
        <v>271061</v>
      </c>
      <c r="F98" s="46">
        <v>15657</v>
      </c>
      <c r="G98" s="110">
        <f t="shared" ref="G98:G100" si="141">ROUND(E98*0.7-F98,0)</f>
        <v>174086</v>
      </c>
      <c r="H98" s="110">
        <f t="shared" ref="H98:H100" si="142">ROUND(G98*0.09,0)</f>
        <v>15668</v>
      </c>
      <c r="I98" s="115">
        <f t="shared" si="135"/>
        <v>348.17</v>
      </c>
      <c r="J98" s="116">
        <f t="shared" ref="J98:J100" si="143">ROUND(G98*0.5*0.6*21/10000,2)</f>
        <v>109.67</v>
      </c>
      <c r="K98" s="117">
        <f t="shared" ref="K98:K100" si="144">ROUND((H98+F98)*0.4*10/10000,2)</f>
        <v>12.53</v>
      </c>
      <c r="L98" s="118">
        <v>60</v>
      </c>
      <c r="M98" s="118">
        <f t="shared" si="136"/>
        <v>530.37</v>
      </c>
      <c r="N98" s="41">
        <f t="shared" si="137"/>
        <v>348.17</v>
      </c>
      <c r="O98" s="117">
        <f t="shared" si="138"/>
        <v>49.74</v>
      </c>
      <c r="P98" s="117">
        <f t="shared" si="139"/>
        <v>99.48</v>
      </c>
      <c r="Q98" s="117">
        <f t="shared" si="140"/>
        <v>198.95</v>
      </c>
    </row>
    <row r="99" s="1" customFormat="1" ht="18" customHeight="1" spans="1:17">
      <c r="A99" s="10">
        <v>445322</v>
      </c>
      <c r="B99" s="10" t="s">
        <v>139</v>
      </c>
      <c r="C99" s="120">
        <v>0.85</v>
      </c>
      <c r="D99" s="10" t="s">
        <v>142</v>
      </c>
      <c r="E99" s="46">
        <v>217762</v>
      </c>
      <c r="F99" s="46">
        <v>16410</v>
      </c>
      <c r="G99" s="110">
        <f t="shared" si="141"/>
        <v>136023</v>
      </c>
      <c r="H99" s="110">
        <f t="shared" si="142"/>
        <v>12242</v>
      </c>
      <c r="I99" s="115">
        <f t="shared" si="135"/>
        <v>272.05</v>
      </c>
      <c r="J99" s="116">
        <f t="shared" si="143"/>
        <v>85.69</v>
      </c>
      <c r="K99" s="117">
        <f t="shared" si="144"/>
        <v>11.46</v>
      </c>
      <c r="L99" s="118">
        <v>60</v>
      </c>
      <c r="M99" s="118">
        <f t="shared" si="136"/>
        <v>429.2</v>
      </c>
      <c r="N99" s="41">
        <f t="shared" si="137"/>
        <v>272.05</v>
      </c>
      <c r="O99" s="117">
        <f t="shared" si="138"/>
        <v>38.86</v>
      </c>
      <c r="P99" s="117">
        <f t="shared" si="139"/>
        <v>77.73</v>
      </c>
      <c r="Q99" s="117">
        <f t="shared" si="140"/>
        <v>155.46</v>
      </c>
    </row>
    <row r="100" s="1" customFormat="1" ht="18" customHeight="1" spans="1:17">
      <c r="A100" s="10">
        <v>445381</v>
      </c>
      <c r="B100" s="10" t="s">
        <v>139</v>
      </c>
      <c r="C100" s="120">
        <v>0.85</v>
      </c>
      <c r="D100" s="10" t="s">
        <v>143</v>
      </c>
      <c r="E100" s="46">
        <v>453273</v>
      </c>
      <c r="F100" s="46">
        <v>36570</v>
      </c>
      <c r="G100" s="110">
        <f t="shared" si="141"/>
        <v>280721</v>
      </c>
      <c r="H100" s="110">
        <f t="shared" si="142"/>
        <v>25265</v>
      </c>
      <c r="I100" s="115">
        <f t="shared" si="135"/>
        <v>561.44</v>
      </c>
      <c r="J100" s="116">
        <f t="shared" si="143"/>
        <v>176.85</v>
      </c>
      <c r="K100" s="117">
        <f t="shared" si="144"/>
        <v>24.73</v>
      </c>
      <c r="L100" s="118">
        <v>60</v>
      </c>
      <c r="M100" s="118">
        <f t="shared" si="136"/>
        <v>823.02</v>
      </c>
      <c r="N100" s="41">
        <f t="shared" si="137"/>
        <v>561.44</v>
      </c>
      <c r="O100" s="117">
        <f t="shared" si="138"/>
        <v>80.21</v>
      </c>
      <c r="P100" s="117">
        <f t="shared" si="139"/>
        <v>160.41</v>
      </c>
      <c r="Q100" s="117">
        <f t="shared" si="140"/>
        <v>320.82</v>
      </c>
    </row>
    <row r="101" s="1" customFormat="1" spans="3:14">
      <c r="C101" s="104"/>
      <c r="E101" s="76"/>
      <c r="F101" s="76"/>
      <c r="G101" s="76"/>
      <c r="H101" s="76"/>
      <c r="I101" s="104"/>
      <c r="J101" s="104"/>
      <c r="K101" s="104"/>
      <c r="L101" s="104"/>
      <c r="M101" s="104"/>
      <c r="N101" s="104"/>
    </row>
    <row r="102" s="1" customFormat="1" ht="116" customHeight="1" spans="3:17">
      <c r="C102" s="111"/>
      <c r="D102" s="111" t="s">
        <v>160</v>
      </c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</row>
    <row r="103" s="1" customFormat="1" ht="16" customHeight="1" spans="3:14">
      <c r="C103" s="112"/>
      <c r="D103" s="113"/>
      <c r="E103" s="113"/>
      <c r="F103" s="113"/>
      <c r="G103" s="113"/>
      <c r="H103" s="113"/>
      <c r="I103" s="112"/>
      <c r="J103" s="112"/>
      <c r="K103" s="112"/>
      <c r="L103" s="112"/>
      <c r="M103" s="112"/>
      <c r="N103" s="112"/>
    </row>
    <row r="104" s="1" customFormat="1" ht="16" customHeight="1" spans="3:14">
      <c r="C104" s="112"/>
      <c r="D104" s="113"/>
      <c r="E104" s="113"/>
      <c r="F104" s="113"/>
      <c r="G104" s="113"/>
      <c r="H104" s="113"/>
      <c r="I104" s="112"/>
      <c r="J104" s="112"/>
      <c r="K104" s="112"/>
      <c r="L104" s="112"/>
      <c r="M104" s="112"/>
      <c r="N104" s="112"/>
    </row>
    <row r="105" s="1" customFormat="1" ht="16" customHeight="1" spans="3:14">
      <c r="C105" s="112"/>
      <c r="D105" s="113"/>
      <c r="E105" s="113"/>
      <c r="F105" s="113"/>
      <c r="G105" s="113"/>
      <c r="H105" s="113"/>
      <c r="I105" s="112"/>
      <c r="J105" s="112"/>
      <c r="K105" s="112"/>
      <c r="L105" s="112"/>
      <c r="M105" s="112"/>
      <c r="N105" s="112"/>
    </row>
    <row r="106" s="1" customFormat="1" ht="16" customHeight="1" spans="3:14">
      <c r="C106" s="112"/>
      <c r="D106" s="113"/>
      <c r="E106" s="113"/>
      <c r="F106" s="113"/>
      <c r="G106" s="113"/>
      <c r="H106" s="113"/>
      <c r="I106" s="112"/>
      <c r="J106" s="112"/>
      <c r="K106" s="112"/>
      <c r="L106" s="112"/>
      <c r="M106" s="112"/>
      <c r="N106" s="112"/>
    </row>
    <row r="107" s="1" customFormat="1" ht="16" customHeight="1" spans="3:14">
      <c r="C107" s="112"/>
      <c r="D107" s="113"/>
      <c r="E107" s="113"/>
      <c r="F107" s="113"/>
      <c r="G107" s="113"/>
      <c r="H107" s="113"/>
      <c r="I107" s="112"/>
      <c r="J107" s="112"/>
      <c r="K107" s="112"/>
      <c r="L107" s="112"/>
      <c r="M107" s="112"/>
      <c r="N107" s="112"/>
    </row>
    <row r="108" s="1" customFormat="1" ht="16" customHeight="1" spans="3:14">
      <c r="C108" s="112"/>
      <c r="D108" s="113"/>
      <c r="E108" s="113"/>
      <c r="F108" s="113"/>
      <c r="G108" s="113"/>
      <c r="H108" s="113"/>
      <c r="I108" s="112"/>
      <c r="J108" s="112"/>
      <c r="K108" s="112"/>
      <c r="L108" s="112"/>
      <c r="M108" s="112"/>
      <c r="N108" s="112"/>
    </row>
    <row r="109" s="1" customFormat="1" ht="16" customHeight="1" spans="3:14">
      <c r="C109" s="112"/>
      <c r="D109" s="113"/>
      <c r="E109" s="113"/>
      <c r="F109" s="113"/>
      <c r="G109" s="113"/>
      <c r="H109" s="113"/>
      <c r="I109" s="112"/>
      <c r="J109" s="112"/>
      <c r="K109" s="112"/>
      <c r="L109" s="112"/>
      <c r="M109" s="112"/>
      <c r="N109" s="112"/>
    </row>
    <row r="110" s="1" customFormat="1" spans="3:14">
      <c r="C110" s="104"/>
      <c r="E110" s="76"/>
      <c r="F110" s="76"/>
      <c r="G110" s="76"/>
      <c r="H110" s="76"/>
      <c r="I110" s="104"/>
      <c r="J110" s="104"/>
      <c r="K110" s="104"/>
      <c r="L110" s="104"/>
      <c r="M110" s="104"/>
      <c r="N110" s="104"/>
    </row>
  </sheetData>
  <mergeCells count="3">
    <mergeCell ref="D1:Q1"/>
    <mergeCell ref="N2:Q2"/>
    <mergeCell ref="D102:Q10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9"/>
  <sheetViews>
    <sheetView topLeftCell="I1" workbookViewId="0">
      <selection activeCell="L16" sqref="L16"/>
    </sheetView>
  </sheetViews>
  <sheetFormatPr defaultColWidth="9" defaultRowHeight="15"/>
  <cols>
    <col min="1" max="1" width="9" style="1" hidden="1" customWidth="1"/>
    <col min="2" max="2" width="9.50833333333333" style="1" hidden="1" customWidth="1"/>
    <col min="3" max="3" width="11.375" style="104" customWidth="1"/>
    <col min="4" max="4" width="20.875" style="1" customWidth="1"/>
    <col min="5" max="5" width="9.25833333333333" style="76" customWidth="1"/>
    <col min="6" max="6" width="11.75" style="76" customWidth="1"/>
    <col min="7" max="7" width="13.5083333333333" style="76" customWidth="1"/>
    <col min="8" max="8" width="13.875" style="76" customWidth="1"/>
    <col min="9" max="9" width="14.375" style="104" customWidth="1"/>
    <col min="10" max="11" width="16.875" style="104" customWidth="1"/>
    <col min="12" max="13" width="13.25" style="104" customWidth="1"/>
    <col min="14" max="14" width="12.25" style="104" customWidth="1"/>
    <col min="15" max="17" width="11.625" style="90" customWidth="1"/>
    <col min="19" max="19" width="9.375"/>
  </cols>
  <sheetData>
    <row r="1" s="1" customFormat="1" ht="29" customHeight="1" spans="3:17">
      <c r="C1" s="6"/>
      <c r="D1" s="6" t="s">
        <v>0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50" customHeight="1" spans="1:17">
      <c r="A2" s="105" t="s">
        <v>5</v>
      </c>
      <c r="B2" s="105" t="s">
        <v>6</v>
      </c>
      <c r="C2" s="13" t="s">
        <v>15</v>
      </c>
      <c r="D2" s="8" t="s">
        <v>1</v>
      </c>
      <c r="E2" s="8" t="s">
        <v>7</v>
      </c>
      <c r="F2" s="8" t="s">
        <v>8</v>
      </c>
      <c r="G2" s="8" t="s">
        <v>9</v>
      </c>
      <c r="H2" s="8" t="s">
        <v>150</v>
      </c>
      <c r="I2" s="13" t="s">
        <v>151</v>
      </c>
      <c r="J2" s="13" t="s">
        <v>12</v>
      </c>
      <c r="K2" s="13" t="s">
        <v>13</v>
      </c>
      <c r="L2" s="13" t="s">
        <v>152</v>
      </c>
      <c r="M2" s="13" t="s">
        <v>153</v>
      </c>
      <c r="N2" s="8" t="s">
        <v>154</v>
      </c>
      <c r="O2" s="8"/>
      <c r="P2" s="8"/>
      <c r="Q2" s="8"/>
    </row>
    <row r="3" s="75" customFormat="1" ht="43" customHeight="1" spans="1:17">
      <c r="A3" s="106"/>
      <c r="B3" s="106"/>
      <c r="C3" s="13" t="s">
        <v>34</v>
      </c>
      <c r="D3" s="8" t="s">
        <v>25</v>
      </c>
      <c r="E3" s="8" t="s">
        <v>26</v>
      </c>
      <c r="F3" s="8" t="s">
        <v>27</v>
      </c>
      <c r="G3" s="8" t="s">
        <v>28</v>
      </c>
      <c r="H3" s="8" t="s">
        <v>29</v>
      </c>
      <c r="I3" s="13" t="s">
        <v>30</v>
      </c>
      <c r="J3" s="13" t="s">
        <v>31</v>
      </c>
      <c r="K3" s="13" t="s">
        <v>155</v>
      </c>
      <c r="L3" s="13" t="s">
        <v>43</v>
      </c>
      <c r="M3" s="13" t="s">
        <v>156</v>
      </c>
      <c r="N3" s="13" t="s">
        <v>157</v>
      </c>
      <c r="O3" s="42" t="s">
        <v>146</v>
      </c>
      <c r="P3" s="42" t="s">
        <v>158</v>
      </c>
      <c r="Q3" s="42" t="s">
        <v>159</v>
      </c>
    </row>
    <row r="4" s="2" customFormat="1" ht="18" customHeight="1" spans="1:19">
      <c r="A4" s="15"/>
      <c r="B4" s="15"/>
      <c r="C4" s="119"/>
      <c r="D4" s="16" t="s">
        <v>47</v>
      </c>
      <c r="E4" s="40">
        <f t="shared" ref="E4:Q4" si="0">E5+E13</f>
        <v>34312998</v>
      </c>
      <c r="F4" s="40">
        <f t="shared" si="0"/>
        <v>943721</v>
      </c>
      <c r="G4" s="40">
        <f t="shared" si="0"/>
        <v>22975382</v>
      </c>
      <c r="H4" s="40">
        <f t="shared" si="0"/>
        <v>2067785</v>
      </c>
      <c r="I4" s="41">
        <f t="shared" si="0"/>
        <v>45950.75</v>
      </c>
      <c r="J4" s="41">
        <f t="shared" si="0"/>
        <v>14474.49</v>
      </c>
      <c r="K4" s="41">
        <f t="shared" si="0"/>
        <v>1204.61</v>
      </c>
      <c r="L4" s="41">
        <f t="shared" si="0"/>
        <v>6214</v>
      </c>
      <c r="M4" s="41">
        <f t="shared" si="0"/>
        <v>67843.85</v>
      </c>
      <c r="N4" s="41">
        <f t="shared" si="0"/>
        <v>46629.75</v>
      </c>
      <c r="O4" s="41">
        <f t="shared" si="0"/>
        <v>6895.94</v>
      </c>
      <c r="P4" s="41">
        <f t="shared" si="0"/>
        <v>13378.97</v>
      </c>
      <c r="Q4" s="41">
        <f t="shared" si="0"/>
        <v>26354.84</v>
      </c>
      <c r="S4" s="2">
        <f>M4-N4</f>
        <v>21214.1</v>
      </c>
    </row>
    <row r="5" s="2" customFormat="1" ht="18" customHeight="1" spans="1:17">
      <c r="A5" s="15"/>
      <c r="B5" s="15"/>
      <c r="C5" s="40"/>
      <c r="D5" s="15" t="s">
        <v>48</v>
      </c>
      <c r="E5" s="40"/>
      <c r="F5" s="40"/>
      <c r="G5" s="40"/>
      <c r="H5" s="40"/>
      <c r="I5" s="41"/>
      <c r="J5" s="41"/>
      <c r="K5" s="41"/>
      <c r="L5" s="41">
        <f t="shared" ref="L5:Q5" si="1">SUM(L6:L12)</f>
        <v>679</v>
      </c>
      <c r="M5" s="41">
        <f t="shared" si="1"/>
        <v>679</v>
      </c>
      <c r="N5" s="41">
        <f t="shared" si="1"/>
        <v>679</v>
      </c>
      <c r="O5" s="41">
        <f t="shared" si="1"/>
        <v>303</v>
      </c>
      <c r="P5" s="41">
        <f t="shared" si="1"/>
        <v>193</v>
      </c>
      <c r="Q5" s="41">
        <f t="shared" si="1"/>
        <v>183</v>
      </c>
    </row>
    <row r="6" s="2" customFormat="1" ht="18" customHeight="1" spans="1:17">
      <c r="A6" s="15"/>
      <c r="B6" s="15"/>
      <c r="C6" s="120">
        <v>1</v>
      </c>
      <c r="D6" s="18" t="s">
        <v>49</v>
      </c>
      <c r="E6" s="40"/>
      <c r="F6" s="40"/>
      <c r="G6" s="40"/>
      <c r="H6" s="40"/>
      <c r="I6" s="41"/>
      <c r="J6" s="41"/>
      <c r="K6" s="41"/>
      <c r="L6" s="118">
        <v>120</v>
      </c>
      <c r="M6" s="118">
        <f t="shared" ref="M6:M12" si="2">SUM(I6:L6)</f>
        <v>120</v>
      </c>
      <c r="N6" s="41">
        <f t="shared" ref="N6:N12" si="3">L6</f>
        <v>120</v>
      </c>
      <c r="O6" s="118">
        <v>50</v>
      </c>
      <c r="P6" s="118">
        <v>40</v>
      </c>
      <c r="Q6" s="118">
        <v>30</v>
      </c>
    </row>
    <row r="7" s="3" customFormat="1" ht="18" customHeight="1" spans="1:17">
      <c r="A7" s="18"/>
      <c r="B7" s="18"/>
      <c r="C7" s="120">
        <v>1</v>
      </c>
      <c r="D7" s="18" t="s">
        <v>50</v>
      </c>
      <c r="E7" s="121"/>
      <c r="F7" s="121"/>
      <c r="G7" s="121"/>
      <c r="H7" s="121"/>
      <c r="I7" s="118"/>
      <c r="J7" s="118"/>
      <c r="K7" s="118"/>
      <c r="L7" s="118">
        <v>100</v>
      </c>
      <c r="M7" s="118">
        <f t="shared" si="2"/>
        <v>100</v>
      </c>
      <c r="N7" s="41">
        <f t="shared" si="3"/>
        <v>100</v>
      </c>
      <c r="O7" s="118">
        <v>50</v>
      </c>
      <c r="P7" s="118">
        <v>20</v>
      </c>
      <c r="Q7" s="118">
        <v>30</v>
      </c>
    </row>
    <row r="8" s="3" customFormat="1" ht="18" customHeight="1" spans="1:17">
      <c r="A8" s="18"/>
      <c r="B8" s="18"/>
      <c r="C8" s="120">
        <v>1</v>
      </c>
      <c r="D8" s="18" t="s">
        <v>51</v>
      </c>
      <c r="E8" s="121"/>
      <c r="F8" s="121"/>
      <c r="G8" s="121"/>
      <c r="H8" s="121"/>
      <c r="I8" s="118"/>
      <c r="J8" s="118"/>
      <c r="K8" s="118"/>
      <c r="L8" s="118">
        <v>259</v>
      </c>
      <c r="M8" s="118">
        <f t="shared" si="2"/>
        <v>259</v>
      </c>
      <c r="N8" s="41">
        <f t="shared" si="3"/>
        <v>259</v>
      </c>
      <c r="O8" s="118">
        <v>89</v>
      </c>
      <c r="P8" s="118">
        <v>90</v>
      </c>
      <c r="Q8" s="118">
        <v>80</v>
      </c>
    </row>
    <row r="9" s="3" customFormat="1" ht="18" customHeight="1" spans="1:17">
      <c r="A9" s="18"/>
      <c r="B9" s="18"/>
      <c r="C9" s="120">
        <v>1</v>
      </c>
      <c r="D9" s="18" t="s">
        <v>149</v>
      </c>
      <c r="E9" s="121"/>
      <c r="F9" s="121"/>
      <c r="G9" s="121"/>
      <c r="H9" s="121"/>
      <c r="I9" s="118"/>
      <c r="J9" s="118"/>
      <c r="K9" s="118"/>
      <c r="L9" s="118">
        <v>20</v>
      </c>
      <c r="M9" s="118">
        <f t="shared" si="2"/>
        <v>20</v>
      </c>
      <c r="N9" s="41">
        <f t="shared" si="3"/>
        <v>20</v>
      </c>
      <c r="O9" s="118">
        <v>14</v>
      </c>
      <c r="P9" s="118">
        <v>3</v>
      </c>
      <c r="Q9" s="118">
        <v>3</v>
      </c>
    </row>
    <row r="10" s="3" customFormat="1" ht="18" customHeight="1" spans="1:17">
      <c r="A10" s="18"/>
      <c r="B10" s="18"/>
      <c r="C10" s="120">
        <v>1</v>
      </c>
      <c r="D10" s="18" t="s">
        <v>52</v>
      </c>
      <c r="E10" s="121"/>
      <c r="F10" s="121"/>
      <c r="G10" s="121"/>
      <c r="H10" s="121"/>
      <c r="I10" s="118"/>
      <c r="J10" s="118"/>
      <c r="K10" s="118"/>
      <c r="L10" s="118">
        <v>80</v>
      </c>
      <c r="M10" s="118">
        <f t="shared" si="2"/>
        <v>80</v>
      </c>
      <c r="N10" s="41">
        <f t="shared" si="3"/>
        <v>80</v>
      </c>
      <c r="O10" s="118">
        <v>40</v>
      </c>
      <c r="P10" s="118">
        <v>20</v>
      </c>
      <c r="Q10" s="118">
        <v>20</v>
      </c>
    </row>
    <row r="11" s="3" customFormat="1" ht="18" customHeight="1" spans="1:17">
      <c r="A11" s="18"/>
      <c r="B11" s="18"/>
      <c r="C11" s="120">
        <v>1</v>
      </c>
      <c r="D11" s="18" t="s">
        <v>53</v>
      </c>
      <c r="E11" s="121"/>
      <c r="F11" s="121"/>
      <c r="G11" s="121"/>
      <c r="H11" s="121"/>
      <c r="I11" s="118"/>
      <c r="J11" s="118"/>
      <c r="K11" s="118"/>
      <c r="L11" s="118">
        <v>50</v>
      </c>
      <c r="M11" s="118">
        <f t="shared" si="2"/>
        <v>50</v>
      </c>
      <c r="N11" s="41">
        <f t="shared" si="3"/>
        <v>50</v>
      </c>
      <c r="O11" s="118">
        <v>30</v>
      </c>
      <c r="P11" s="118">
        <v>10</v>
      </c>
      <c r="Q11" s="118">
        <v>10</v>
      </c>
    </row>
    <row r="12" s="3" customFormat="1" ht="18" customHeight="1" spans="1:17">
      <c r="A12" s="18"/>
      <c r="B12" s="18"/>
      <c r="C12" s="120">
        <v>1</v>
      </c>
      <c r="D12" s="18" t="s">
        <v>54</v>
      </c>
      <c r="E12" s="121"/>
      <c r="F12" s="121"/>
      <c r="G12" s="121"/>
      <c r="H12" s="121"/>
      <c r="I12" s="118"/>
      <c r="J12" s="118"/>
      <c r="K12" s="118"/>
      <c r="L12" s="118">
        <v>50</v>
      </c>
      <c r="M12" s="118">
        <f t="shared" si="2"/>
        <v>50</v>
      </c>
      <c r="N12" s="41">
        <f t="shared" si="3"/>
        <v>50</v>
      </c>
      <c r="O12" s="118">
        <v>30</v>
      </c>
      <c r="P12" s="118">
        <v>10</v>
      </c>
      <c r="Q12" s="118">
        <v>10</v>
      </c>
    </row>
    <row r="13" s="2" customFormat="1" ht="18" customHeight="1" spans="1:17">
      <c r="A13" s="15"/>
      <c r="B13" s="15"/>
      <c r="C13" s="107"/>
      <c r="D13" s="15" t="s">
        <v>55</v>
      </c>
      <c r="E13" s="108">
        <f t="shared" ref="E13:Q13" si="4">E14+E26+E35+E41+E52+E59+E66+E71+E81+E87+E95+E111+E116+E123+E101</f>
        <v>34312998</v>
      </c>
      <c r="F13" s="108">
        <f t="shared" si="4"/>
        <v>943721</v>
      </c>
      <c r="G13" s="108">
        <f t="shared" si="4"/>
        <v>22975382</v>
      </c>
      <c r="H13" s="108">
        <f t="shared" si="4"/>
        <v>2067785</v>
      </c>
      <c r="I13" s="114">
        <f t="shared" si="4"/>
        <v>45950.75</v>
      </c>
      <c r="J13" s="107">
        <f t="shared" si="4"/>
        <v>14474.49</v>
      </c>
      <c r="K13" s="114">
        <f t="shared" si="4"/>
        <v>1204.61</v>
      </c>
      <c r="L13" s="114">
        <f t="shared" si="4"/>
        <v>5535</v>
      </c>
      <c r="M13" s="114">
        <f t="shared" si="4"/>
        <v>67164.85</v>
      </c>
      <c r="N13" s="114">
        <f t="shared" si="4"/>
        <v>45950.75</v>
      </c>
      <c r="O13" s="114">
        <f t="shared" si="4"/>
        <v>6592.94</v>
      </c>
      <c r="P13" s="114">
        <f t="shared" si="4"/>
        <v>13185.97</v>
      </c>
      <c r="Q13" s="114">
        <f t="shared" si="4"/>
        <v>26171.84</v>
      </c>
    </row>
    <row r="14" s="4" customFormat="1" ht="18" customHeight="1" spans="1:17">
      <c r="A14" s="22">
        <v>440200</v>
      </c>
      <c r="B14" s="22" t="s">
        <v>56</v>
      </c>
      <c r="C14" s="107"/>
      <c r="D14" s="23" t="s">
        <v>57</v>
      </c>
      <c r="E14" s="108">
        <f t="shared" ref="E14:Q14" si="5">SUM(E15:E25)</f>
        <v>1765985</v>
      </c>
      <c r="F14" s="108">
        <f t="shared" si="5"/>
        <v>49420</v>
      </c>
      <c r="G14" s="108">
        <f t="shared" si="5"/>
        <v>1186771</v>
      </c>
      <c r="H14" s="108">
        <f t="shared" si="5"/>
        <v>106807</v>
      </c>
      <c r="I14" s="114">
        <f t="shared" si="5"/>
        <v>2373.54</v>
      </c>
      <c r="J14" s="107">
        <f t="shared" si="5"/>
        <v>747.66</v>
      </c>
      <c r="K14" s="114">
        <f t="shared" si="5"/>
        <v>62.49</v>
      </c>
      <c r="L14" s="114">
        <f t="shared" si="5"/>
        <v>625</v>
      </c>
      <c r="M14" s="114">
        <f t="shared" si="5"/>
        <v>3808.69</v>
      </c>
      <c r="N14" s="114">
        <f t="shared" si="5"/>
        <v>2373.54</v>
      </c>
      <c r="O14" s="114">
        <f t="shared" si="5"/>
        <v>339.07</v>
      </c>
      <c r="P14" s="114">
        <f t="shared" si="5"/>
        <v>678.15</v>
      </c>
      <c r="Q14" s="114">
        <f t="shared" si="5"/>
        <v>1356.32</v>
      </c>
    </row>
    <row r="15" s="4" customFormat="1" ht="18" customHeight="1" spans="1:17">
      <c r="A15" s="22"/>
      <c r="B15" s="22"/>
      <c r="C15" s="120">
        <v>0.85</v>
      </c>
      <c r="D15" s="45" t="s">
        <v>58</v>
      </c>
      <c r="E15" s="108"/>
      <c r="F15" s="108"/>
      <c r="G15" s="108"/>
      <c r="H15" s="108"/>
      <c r="I15" s="114"/>
      <c r="J15" s="116">
        <v>0</v>
      </c>
      <c r="K15" s="117">
        <v>0</v>
      </c>
      <c r="L15" s="118">
        <v>25</v>
      </c>
      <c r="M15" s="118">
        <f t="shared" ref="M15:M25" si="6">SUM(I15:L15)</f>
        <v>25</v>
      </c>
      <c r="N15" s="41">
        <f t="shared" ref="N15:N25" si="7">I15</f>
        <v>0</v>
      </c>
      <c r="O15" s="114">
        <v>0</v>
      </c>
      <c r="P15" s="114">
        <v>0</v>
      </c>
      <c r="Q15" s="114">
        <v>0</v>
      </c>
    </row>
    <row r="16" s="4" customFormat="1" ht="18" customHeight="1" spans="1:17">
      <c r="A16" s="22"/>
      <c r="B16" s="22"/>
      <c r="C16" s="109" t="s">
        <v>161</v>
      </c>
      <c r="D16" s="45" t="s">
        <v>162</v>
      </c>
      <c r="E16" s="46">
        <v>245150</v>
      </c>
      <c r="F16" s="108"/>
      <c r="G16" s="110">
        <f>ROUND(E16*0.7-F16,0)</f>
        <v>171605</v>
      </c>
      <c r="H16" s="110">
        <f>ROUND(G16*0.09,0)</f>
        <v>15444</v>
      </c>
      <c r="I16" s="115">
        <f>ROUND(G16*20/10000,2)</f>
        <v>343.21</v>
      </c>
      <c r="J16" s="116">
        <f>ROUND(G16*0.5*0.6*21/10000,2)</f>
        <v>108.11</v>
      </c>
      <c r="K16" s="117">
        <f>ROUND((H16+F16)*0.4*10/10000,2)</f>
        <v>6.18</v>
      </c>
      <c r="L16" s="118">
        <v>60</v>
      </c>
      <c r="M16" s="118">
        <f t="shared" si="6"/>
        <v>517.5</v>
      </c>
      <c r="N16" s="41">
        <f t="shared" si="7"/>
        <v>343.21</v>
      </c>
      <c r="O16" s="117">
        <f>ROUND((E16-F16/0.7)*0.1*0.002,2)</f>
        <v>49.03</v>
      </c>
      <c r="P16" s="117">
        <f>ROUND((E16-F16/0.7)*0.2*0.002,2)</f>
        <v>98.06</v>
      </c>
      <c r="Q16" s="117">
        <f>N16-O16-P16</f>
        <v>196.12</v>
      </c>
    </row>
    <row r="17" s="4" customFormat="1" ht="18" customHeight="1" spans="1:17">
      <c r="A17" s="22"/>
      <c r="B17" s="22"/>
      <c r="C17" s="109" t="s">
        <v>161</v>
      </c>
      <c r="D17" s="45" t="s">
        <v>163</v>
      </c>
      <c r="E17" s="46">
        <v>253974</v>
      </c>
      <c r="F17" s="108"/>
      <c r="G17" s="110">
        <f t="shared" ref="G17:G25" si="8">ROUND(E17*0.7-F17,0)</f>
        <v>177782</v>
      </c>
      <c r="H17" s="110">
        <f t="shared" ref="H17:H25" si="9">ROUND(G17*0.09,0)</f>
        <v>16000</v>
      </c>
      <c r="I17" s="115">
        <f t="shared" ref="I17:I25" si="10">ROUND(G17*20/10000,2)</f>
        <v>355.56</v>
      </c>
      <c r="J17" s="116">
        <f t="shared" ref="J17:J25" si="11">ROUND(G17*0.5*0.6*21/10000,2)</f>
        <v>112</v>
      </c>
      <c r="K17" s="117">
        <f t="shared" ref="K17:K25" si="12">ROUND((H17+F17)*0.4*10/10000,2)</f>
        <v>6.4</v>
      </c>
      <c r="L17" s="118">
        <v>60</v>
      </c>
      <c r="M17" s="118">
        <f t="shared" si="6"/>
        <v>533.96</v>
      </c>
      <c r="N17" s="41">
        <f t="shared" si="7"/>
        <v>355.56</v>
      </c>
      <c r="O17" s="117">
        <f>ROUND((E17-F17/0.7)*0.1*0.002,2)</f>
        <v>50.79</v>
      </c>
      <c r="P17" s="117">
        <f>ROUND((E17-F17/0.7)*0.2*0.002,2)</f>
        <v>101.59</v>
      </c>
      <c r="Q17" s="117">
        <f>N17-O17-P17</f>
        <v>203.18</v>
      </c>
    </row>
    <row r="18" s="4" customFormat="1" ht="18" customHeight="1" spans="1:17">
      <c r="A18" s="22"/>
      <c r="B18" s="22"/>
      <c r="C18" s="109" t="s">
        <v>161</v>
      </c>
      <c r="D18" s="45" t="s">
        <v>164</v>
      </c>
      <c r="E18" s="46">
        <v>192701</v>
      </c>
      <c r="F18" s="108"/>
      <c r="G18" s="110">
        <f t="shared" si="8"/>
        <v>134891</v>
      </c>
      <c r="H18" s="110">
        <f t="shared" si="9"/>
        <v>12140</v>
      </c>
      <c r="I18" s="115">
        <f t="shared" si="10"/>
        <v>269.78</v>
      </c>
      <c r="J18" s="116">
        <f t="shared" si="11"/>
        <v>84.98</v>
      </c>
      <c r="K18" s="117">
        <f t="shared" si="12"/>
        <v>4.86</v>
      </c>
      <c r="L18" s="118">
        <v>60</v>
      </c>
      <c r="M18" s="118">
        <f t="shared" si="6"/>
        <v>419.62</v>
      </c>
      <c r="N18" s="41">
        <f t="shared" si="7"/>
        <v>269.78</v>
      </c>
      <c r="O18" s="117">
        <f>ROUND((E18-F18/0.7)*0.1*0.002,2)</f>
        <v>38.54</v>
      </c>
      <c r="P18" s="117">
        <f>ROUND((E18-F18/0.7)*0.2*0.002,2)</f>
        <v>77.08</v>
      </c>
      <c r="Q18" s="117">
        <f>N18-O18-P18</f>
        <v>154.16</v>
      </c>
    </row>
    <row r="19" s="1" customFormat="1" ht="18" customHeight="1" spans="1:17">
      <c r="A19" s="10">
        <v>440222</v>
      </c>
      <c r="B19" s="10" t="s">
        <v>56</v>
      </c>
      <c r="C19" s="120">
        <v>0.85</v>
      </c>
      <c r="D19" s="10" t="s">
        <v>59</v>
      </c>
      <c r="E19" s="46">
        <v>122510</v>
      </c>
      <c r="F19" s="46">
        <v>4598</v>
      </c>
      <c r="G19" s="110">
        <f t="shared" si="8"/>
        <v>81159</v>
      </c>
      <c r="H19" s="110">
        <f t="shared" si="9"/>
        <v>7304</v>
      </c>
      <c r="I19" s="115">
        <f t="shared" si="10"/>
        <v>162.32</v>
      </c>
      <c r="J19" s="116">
        <f t="shared" si="11"/>
        <v>51.13</v>
      </c>
      <c r="K19" s="117">
        <f t="shared" si="12"/>
        <v>4.76</v>
      </c>
      <c r="L19" s="118">
        <v>60</v>
      </c>
      <c r="M19" s="118">
        <f t="shared" si="6"/>
        <v>278.21</v>
      </c>
      <c r="N19" s="41">
        <f t="shared" si="7"/>
        <v>162.32</v>
      </c>
      <c r="O19" s="117">
        <f t="shared" ref="O19:O25" si="13">ROUND((E19-F19/0.7)*0.1*0.002,2)</f>
        <v>23.19</v>
      </c>
      <c r="P19" s="117">
        <f t="shared" ref="P19:P25" si="14">ROUND((E19-F19/0.7)*0.2*0.002,2)</f>
        <v>46.38</v>
      </c>
      <c r="Q19" s="117">
        <f t="shared" ref="Q19:Q25" si="15">N19-O19-P19</f>
        <v>92.75</v>
      </c>
    </row>
    <row r="20" s="1" customFormat="1" ht="18" customHeight="1" spans="1:17">
      <c r="A20" s="10">
        <v>440224</v>
      </c>
      <c r="B20" s="10" t="s">
        <v>56</v>
      </c>
      <c r="C20" s="120">
        <v>0.85</v>
      </c>
      <c r="D20" s="10" t="s">
        <v>60</v>
      </c>
      <c r="E20" s="46">
        <v>120900</v>
      </c>
      <c r="F20" s="46">
        <v>6625</v>
      </c>
      <c r="G20" s="110">
        <f t="shared" si="8"/>
        <v>78005</v>
      </c>
      <c r="H20" s="110">
        <f t="shared" si="9"/>
        <v>7020</v>
      </c>
      <c r="I20" s="115">
        <f t="shared" si="10"/>
        <v>156.01</v>
      </c>
      <c r="J20" s="116">
        <f t="shared" si="11"/>
        <v>49.14</v>
      </c>
      <c r="K20" s="117">
        <f t="shared" si="12"/>
        <v>5.46</v>
      </c>
      <c r="L20" s="118">
        <v>60</v>
      </c>
      <c r="M20" s="118">
        <f t="shared" si="6"/>
        <v>270.61</v>
      </c>
      <c r="N20" s="41">
        <f t="shared" si="7"/>
        <v>156.01</v>
      </c>
      <c r="O20" s="117">
        <f t="shared" si="13"/>
        <v>22.29</v>
      </c>
      <c r="P20" s="117">
        <f t="shared" si="14"/>
        <v>44.57</v>
      </c>
      <c r="Q20" s="117">
        <f t="shared" si="15"/>
        <v>89.15</v>
      </c>
    </row>
    <row r="21" s="1" customFormat="1" ht="18" customHeight="1" spans="1:17">
      <c r="A21" s="10">
        <v>440229</v>
      </c>
      <c r="B21" s="10" t="s">
        <v>56</v>
      </c>
      <c r="C21" s="120">
        <v>0.85</v>
      </c>
      <c r="D21" s="10" t="s">
        <v>61</v>
      </c>
      <c r="E21" s="46">
        <v>188220</v>
      </c>
      <c r="F21" s="46">
        <v>7711</v>
      </c>
      <c r="G21" s="110">
        <f t="shared" si="8"/>
        <v>124043</v>
      </c>
      <c r="H21" s="110">
        <f t="shared" si="9"/>
        <v>11164</v>
      </c>
      <c r="I21" s="115">
        <f t="shared" si="10"/>
        <v>248.09</v>
      </c>
      <c r="J21" s="116">
        <f t="shared" si="11"/>
        <v>78.15</v>
      </c>
      <c r="K21" s="117">
        <f t="shared" si="12"/>
        <v>7.55</v>
      </c>
      <c r="L21" s="118">
        <v>60</v>
      </c>
      <c r="M21" s="118">
        <f t="shared" si="6"/>
        <v>393.79</v>
      </c>
      <c r="N21" s="41">
        <f t="shared" si="7"/>
        <v>248.09</v>
      </c>
      <c r="O21" s="117">
        <f t="shared" si="13"/>
        <v>35.44</v>
      </c>
      <c r="P21" s="117">
        <f t="shared" si="14"/>
        <v>70.88</v>
      </c>
      <c r="Q21" s="117">
        <f t="shared" si="15"/>
        <v>141.77</v>
      </c>
    </row>
    <row r="22" s="1" customFormat="1" ht="18" customHeight="1" spans="1:17">
      <c r="A22" s="10">
        <v>440232</v>
      </c>
      <c r="B22" s="10" t="s">
        <v>56</v>
      </c>
      <c r="C22" s="120">
        <v>1</v>
      </c>
      <c r="D22" s="10" t="s">
        <v>62</v>
      </c>
      <c r="E22" s="46">
        <v>120021</v>
      </c>
      <c r="F22" s="46">
        <v>10263</v>
      </c>
      <c r="G22" s="110">
        <f t="shared" si="8"/>
        <v>73752</v>
      </c>
      <c r="H22" s="110">
        <f t="shared" si="9"/>
        <v>6638</v>
      </c>
      <c r="I22" s="115">
        <f t="shared" si="10"/>
        <v>147.5</v>
      </c>
      <c r="J22" s="116">
        <f t="shared" si="11"/>
        <v>46.46</v>
      </c>
      <c r="K22" s="117">
        <f t="shared" si="12"/>
        <v>6.76</v>
      </c>
      <c r="L22" s="118">
        <v>60</v>
      </c>
      <c r="M22" s="118">
        <f t="shared" si="6"/>
        <v>260.72</v>
      </c>
      <c r="N22" s="41">
        <f t="shared" si="7"/>
        <v>147.5</v>
      </c>
      <c r="O22" s="117">
        <f t="shared" si="13"/>
        <v>21.07</v>
      </c>
      <c r="P22" s="117">
        <f t="shared" si="14"/>
        <v>42.14</v>
      </c>
      <c r="Q22" s="117">
        <f t="shared" si="15"/>
        <v>84.29</v>
      </c>
    </row>
    <row r="23" s="1" customFormat="1" ht="18" customHeight="1" spans="1:17">
      <c r="A23" s="10">
        <v>440233</v>
      </c>
      <c r="B23" s="10" t="s">
        <v>56</v>
      </c>
      <c r="C23" s="120">
        <v>0.85</v>
      </c>
      <c r="D23" s="10" t="s">
        <v>63</v>
      </c>
      <c r="E23" s="46">
        <v>116590</v>
      </c>
      <c r="F23" s="46">
        <v>2266</v>
      </c>
      <c r="G23" s="110">
        <f t="shared" si="8"/>
        <v>79347</v>
      </c>
      <c r="H23" s="110">
        <f t="shared" si="9"/>
        <v>7141</v>
      </c>
      <c r="I23" s="115">
        <f t="shared" si="10"/>
        <v>158.69</v>
      </c>
      <c r="J23" s="116">
        <f t="shared" si="11"/>
        <v>49.99</v>
      </c>
      <c r="K23" s="117">
        <f t="shared" si="12"/>
        <v>3.76</v>
      </c>
      <c r="L23" s="118">
        <v>60</v>
      </c>
      <c r="M23" s="118">
        <f t="shared" si="6"/>
        <v>272.44</v>
      </c>
      <c r="N23" s="41">
        <f t="shared" si="7"/>
        <v>158.69</v>
      </c>
      <c r="O23" s="117">
        <f t="shared" si="13"/>
        <v>22.67</v>
      </c>
      <c r="P23" s="117">
        <f t="shared" si="14"/>
        <v>45.34</v>
      </c>
      <c r="Q23" s="117">
        <f t="shared" si="15"/>
        <v>90.68</v>
      </c>
    </row>
    <row r="24" s="1" customFormat="1" ht="18" customHeight="1" spans="1:17">
      <c r="A24" s="10">
        <v>440281</v>
      </c>
      <c r="B24" s="10" t="s">
        <v>56</v>
      </c>
      <c r="C24" s="120">
        <v>0.85</v>
      </c>
      <c r="D24" s="10" t="s">
        <v>64</v>
      </c>
      <c r="E24" s="46">
        <v>223884</v>
      </c>
      <c r="F24" s="46">
        <v>9370</v>
      </c>
      <c r="G24" s="110">
        <f t="shared" si="8"/>
        <v>147349</v>
      </c>
      <c r="H24" s="110">
        <f t="shared" si="9"/>
        <v>13261</v>
      </c>
      <c r="I24" s="115">
        <f t="shared" si="10"/>
        <v>294.7</v>
      </c>
      <c r="J24" s="116">
        <f t="shared" si="11"/>
        <v>92.83</v>
      </c>
      <c r="K24" s="117">
        <f t="shared" si="12"/>
        <v>9.05</v>
      </c>
      <c r="L24" s="118">
        <v>60</v>
      </c>
      <c r="M24" s="118">
        <f t="shared" si="6"/>
        <v>456.58</v>
      </c>
      <c r="N24" s="41">
        <f t="shared" si="7"/>
        <v>294.7</v>
      </c>
      <c r="O24" s="117">
        <f t="shared" si="13"/>
        <v>42.1</v>
      </c>
      <c r="P24" s="117">
        <f t="shared" si="14"/>
        <v>84.2</v>
      </c>
      <c r="Q24" s="117">
        <f t="shared" si="15"/>
        <v>168.4</v>
      </c>
    </row>
    <row r="25" s="1" customFormat="1" ht="18" customHeight="1" spans="1:17">
      <c r="A25" s="10">
        <v>440282</v>
      </c>
      <c r="B25" s="10" t="s">
        <v>56</v>
      </c>
      <c r="C25" s="120">
        <v>1</v>
      </c>
      <c r="D25" s="10" t="s">
        <v>65</v>
      </c>
      <c r="E25" s="46">
        <v>182035</v>
      </c>
      <c r="F25" s="46">
        <v>8587</v>
      </c>
      <c r="G25" s="110">
        <f t="shared" si="8"/>
        <v>118838</v>
      </c>
      <c r="H25" s="110">
        <f t="shared" si="9"/>
        <v>10695</v>
      </c>
      <c r="I25" s="115">
        <f t="shared" si="10"/>
        <v>237.68</v>
      </c>
      <c r="J25" s="116">
        <f t="shared" si="11"/>
        <v>74.87</v>
      </c>
      <c r="K25" s="117">
        <f t="shared" si="12"/>
        <v>7.71</v>
      </c>
      <c r="L25" s="118">
        <v>60</v>
      </c>
      <c r="M25" s="118">
        <f t="shared" si="6"/>
        <v>380.26</v>
      </c>
      <c r="N25" s="41">
        <f t="shared" si="7"/>
        <v>237.68</v>
      </c>
      <c r="O25" s="117">
        <f t="shared" si="13"/>
        <v>33.95</v>
      </c>
      <c r="P25" s="117">
        <f t="shared" si="14"/>
        <v>67.91</v>
      </c>
      <c r="Q25" s="117">
        <f t="shared" si="15"/>
        <v>135.82</v>
      </c>
    </row>
    <row r="26" s="4" customFormat="1" ht="18" customHeight="1" spans="1:17">
      <c r="A26" s="22">
        <v>440500</v>
      </c>
      <c r="B26" s="22" t="s">
        <v>66</v>
      </c>
      <c r="C26" s="107"/>
      <c r="D26" s="23" t="s">
        <v>67</v>
      </c>
      <c r="E26" s="108">
        <f t="shared" ref="E26:Q26" si="16">SUM(E27:E34)</f>
        <v>3605616</v>
      </c>
      <c r="F26" s="108">
        <f t="shared" si="16"/>
        <v>712</v>
      </c>
      <c r="G26" s="108">
        <f t="shared" si="16"/>
        <v>2523220</v>
      </c>
      <c r="H26" s="108">
        <f t="shared" si="16"/>
        <v>227090</v>
      </c>
      <c r="I26" s="114">
        <f t="shared" si="16"/>
        <v>5046.44</v>
      </c>
      <c r="J26" s="107">
        <f t="shared" si="16"/>
        <v>1589.62</v>
      </c>
      <c r="K26" s="114">
        <f t="shared" si="16"/>
        <v>91.12</v>
      </c>
      <c r="L26" s="114">
        <f t="shared" si="16"/>
        <v>445</v>
      </c>
      <c r="M26" s="114">
        <f t="shared" si="16"/>
        <v>7172.18</v>
      </c>
      <c r="N26" s="114">
        <f t="shared" si="16"/>
        <v>5046.44</v>
      </c>
      <c r="O26" s="114">
        <f t="shared" si="16"/>
        <v>720.92</v>
      </c>
      <c r="P26" s="114">
        <f t="shared" si="16"/>
        <v>1441.84</v>
      </c>
      <c r="Q26" s="114">
        <f t="shared" si="16"/>
        <v>2883.68</v>
      </c>
    </row>
    <row r="27" s="4" customFormat="1" ht="18" customHeight="1" spans="1:17">
      <c r="A27" s="22"/>
      <c r="B27" s="22"/>
      <c r="C27" s="120">
        <v>0.85</v>
      </c>
      <c r="D27" s="10" t="s">
        <v>58</v>
      </c>
      <c r="E27" s="108"/>
      <c r="F27" s="108"/>
      <c r="G27" s="108"/>
      <c r="H27" s="108"/>
      <c r="I27" s="115">
        <f>ROUND(G27*20/10000,2)</f>
        <v>0</v>
      </c>
      <c r="J27" s="116">
        <v>0</v>
      </c>
      <c r="K27" s="117">
        <f>ROUND(H27*0.4*10/10000,2)</f>
        <v>0</v>
      </c>
      <c r="L27" s="118">
        <v>25</v>
      </c>
      <c r="M27" s="118">
        <f>SUM(I27:L27)</f>
        <v>25</v>
      </c>
      <c r="N27" s="41">
        <f>I27</f>
        <v>0</v>
      </c>
      <c r="O27" s="117">
        <f>ROUND((E27-F27/0.7)*0.1*0.002,2)</f>
        <v>0</v>
      </c>
      <c r="P27" s="117">
        <f>ROUND((E27-F27/0.7)*0.2*0.002,2)</f>
        <v>0</v>
      </c>
      <c r="Q27" s="117">
        <f>N27-O27-P27</f>
        <v>0</v>
      </c>
    </row>
    <row r="28" s="4" customFormat="1" ht="18" customHeight="1" spans="1:17">
      <c r="A28" s="22"/>
      <c r="B28" s="22"/>
      <c r="C28" s="109" t="s">
        <v>161</v>
      </c>
      <c r="D28" s="45" t="s">
        <v>165</v>
      </c>
      <c r="E28" s="46">
        <v>551138</v>
      </c>
      <c r="F28" s="108"/>
      <c r="G28" s="110">
        <f t="shared" ref="G28:G34" si="17">ROUND(E28*0.7-F28,0)</f>
        <v>385797</v>
      </c>
      <c r="H28" s="110">
        <f t="shared" ref="H28:H34" si="18">ROUND(G28*0.09,0)</f>
        <v>34722</v>
      </c>
      <c r="I28" s="115">
        <f t="shared" ref="I28:I34" si="19">ROUND(G28*20/10000,2)</f>
        <v>771.59</v>
      </c>
      <c r="J28" s="116">
        <f t="shared" ref="J28:J34" si="20">ROUND(G28*0.5*0.6*21/10000,2)</f>
        <v>243.05</v>
      </c>
      <c r="K28" s="117">
        <f t="shared" ref="K28:K34" si="21">ROUND((H28+F28)*0.4*10/10000,2)</f>
        <v>13.89</v>
      </c>
      <c r="L28" s="118">
        <v>60</v>
      </c>
      <c r="M28" s="118">
        <f t="shared" ref="M28:M34" si="22">SUM(I28:L28)</f>
        <v>1088.53</v>
      </c>
      <c r="N28" s="41">
        <f t="shared" ref="N28:N34" si="23">I28</f>
        <v>771.59</v>
      </c>
      <c r="O28" s="117">
        <f t="shared" ref="O28:O34" si="24">ROUND((E28-F28/0.7)*0.1*0.002,2)</f>
        <v>110.23</v>
      </c>
      <c r="P28" s="117">
        <f t="shared" ref="P28:P34" si="25">ROUND((E28-F28/0.7)*0.2*0.002,2)</f>
        <v>220.46</v>
      </c>
      <c r="Q28" s="117">
        <f t="shared" ref="Q28:Q34" si="26">N28-O28-P28</f>
        <v>440.9</v>
      </c>
    </row>
    <row r="29" s="4" customFormat="1" ht="18" customHeight="1" spans="1:17">
      <c r="A29" s="22"/>
      <c r="B29" s="22"/>
      <c r="C29" s="109" t="s">
        <v>161</v>
      </c>
      <c r="D29" s="45" t="s">
        <v>166</v>
      </c>
      <c r="E29" s="46">
        <v>446805</v>
      </c>
      <c r="F29" s="108"/>
      <c r="G29" s="110">
        <f t="shared" si="17"/>
        <v>312764</v>
      </c>
      <c r="H29" s="110">
        <f t="shared" si="18"/>
        <v>28149</v>
      </c>
      <c r="I29" s="115">
        <f t="shared" si="19"/>
        <v>625.53</v>
      </c>
      <c r="J29" s="116">
        <f t="shared" si="20"/>
        <v>197.04</v>
      </c>
      <c r="K29" s="117">
        <f t="shared" si="21"/>
        <v>11.26</v>
      </c>
      <c r="L29" s="118">
        <v>60</v>
      </c>
      <c r="M29" s="118">
        <f t="shared" si="22"/>
        <v>893.83</v>
      </c>
      <c r="N29" s="41">
        <f t="shared" si="23"/>
        <v>625.53</v>
      </c>
      <c r="O29" s="117">
        <f t="shared" si="24"/>
        <v>89.36</v>
      </c>
      <c r="P29" s="117">
        <f t="shared" si="25"/>
        <v>178.72</v>
      </c>
      <c r="Q29" s="117">
        <f t="shared" si="26"/>
        <v>357.45</v>
      </c>
    </row>
    <row r="30" s="4" customFormat="1" ht="18" customHeight="1" spans="1:17">
      <c r="A30" s="22"/>
      <c r="B30" s="22"/>
      <c r="C30" s="109" t="s">
        <v>161</v>
      </c>
      <c r="D30" s="45" t="s">
        <v>167</v>
      </c>
      <c r="E30" s="46">
        <v>620486</v>
      </c>
      <c r="F30" s="108"/>
      <c r="G30" s="110">
        <f t="shared" si="17"/>
        <v>434340</v>
      </c>
      <c r="H30" s="110">
        <f t="shared" si="18"/>
        <v>39091</v>
      </c>
      <c r="I30" s="115">
        <f t="shared" si="19"/>
        <v>868.68</v>
      </c>
      <c r="J30" s="116">
        <f t="shared" si="20"/>
        <v>273.63</v>
      </c>
      <c r="K30" s="117">
        <f t="shared" si="21"/>
        <v>15.64</v>
      </c>
      <c r="L30" s="118">
        <v>60</v>
      </c>
      <c r="M30" s="118">
        <f t="shared" si="22"/>
        <v>1217.95</v>
      </c>
      <c r="N30" s="41">
        <f t="shared" si="23"/>
        <v>868.68</v>
      </c>
      <c r="O30" s="117">
        <f t="shared" si="24"/>
        <v>124.1</v>
      </c>
      <c r="P30" s="117">
        <f t="shared" si="25"/>
        <v>248.19</v>
      </c>
      <c r="Q30" s="117">
        <f t="shared" si="26"/>
        <v>496.39</v>
      </c>
    </row>
    <row r="31" s="4" customFormat="1" ht="18" customHeight="1" spans="1:17">
      <c r="A31" s="22"/>
      <c r="B31" s="22"/>
      <c r="C31" s="109" t="s">
        <v>161</v>
      </c>
      <c r="D31" s="45" t="s">
        <v>168</v>
      </c>
      <c r="E31" s="46">
        <v>170665</v>
      </c>
      <c r="F31" s="108"/>
      <c r="G31" s="110">
        <f t="shared" si="17"/>
        <v>119466</v>
      </c>
      <c r="H31" s="110">
        <f t="shared" si="18"/>
        <v>10752</v>
      </c>
      <c r="I31" s="115">
        <f t="shared" si="19"/>
        <v>238.93</v>
      </c>
      <c r="J31" s="116">
        <f t="shared" si="20"/>
        <v>75.26</v>
      </c>
      <c r="K31" s="117">
        <f t="shared" si="21"/>
        <v>4.3</v>
      </c>
      <c r="L31" s="118">
        <v>60</v>
      </c>
      <c r="M31" s="118">
        <f t="shared" si="22"/>
        <v>378.49</v>
      </c>
      <c r="N31" s="41">
        <f t="shared" si="23"/>
        <v>238.93</v>
      </c>
      <c r="O31" s="117">
        <f t="shared" si="24"/>
        <v>34.13</v>
      </c>
      <c r="P31" s="117">
        <f t="shared" si="25"/>
        <v>68.27</v>
      </c>
      <c r="Q31" s="117">
        <f t="shared" si="26"/>
        <v>136.53</v>
      </c>
    </row>
    <row r="32" s="4" customFormat="1" ht="18" customHeight="1" spans="1:17">
      <c r="A32" s="22"/>
      <c r="B32" s="22"/>
      <c r="C32" s="109" t="s">
        <v>161</v>
      </c>
      <c r="D32" s="45" t="s">
        <v>169</v>
      </c>
      <c r="E32" s="46">
        <v>1025369</v>
      </c>
      <c r="F32" s="108"/>
      <c r="G32" s="110">
        <f t="shared" si="17"/>
        <v>717758</v>
      </c>
      <c r="H32" s="110">
        <f t="shared" si="18"/>
        <v>64598</v>
      </c>
      <c r="I32" s="115">
        <f t="shared" si="19"/>
        <v>1435.52</v>
      </c>
      <c r="J32" s="116">
        <f t="shared" si="20"/>
        <v>452.19</v>
      </c>
      <c r="K32" s="117">
        <f t="shared" si="21"/>
        <v>25.84</v>
      </c>
      <c r="L32" s="118">
        <v>60</v>
      </c>
      <c r="M32" s="118">
        <f t="shared" si="22"/>
        <v>1973.55</v>
      </c>
      <c r="N32" s="41">
        <f t="shared" si="23"/>
        <v>1435.52</v>
      </c>
      <c r="O32" s="117">
        <f t="shared" si="24"/>
        <v>205.07</v>
      </c>
      <c r="P32" s="117">
        <f t="shared" si="25"/>
        <v>410.15</v>
      </c>
      <c r="Q32" s="117">
        <f t="shared" si="26"/>
        <v>820.3</v>
      </c>
    </row>
    <row r="33" s="4" customFormat="1" ht="18" customHeight="1" spans="1:17">
      <c r="A33" s="22"/>
      <c r="B33" s="22"/>
      <c r="C33" s="109" t="s">
        <v>161</v>
      </c>
      <c r="D33" s="45" t="s">
        <v>170</v>
      </c>
      <c r="E33" s="46">
        <v>744957</v>
      </c>
      <c r="F33" s="108"/>
      <c r="G33" s="110">
        <f t="shared" si="17"/>
        <v>521470</v>
      </c>
      <c r="H33" s="110">
        <f t="shared" si="18"/>
        <v>46932</v>
      </c>
      <c r="I33" s="115">
        <f t="shared" si="19"/>
        <v>1042.94</v>
      </c>
      <c r="J33" s="116">
        <f t="shared" si="20"/>
        <v>328.53</v>
      </c>
      <c r="K33" s="117">
        <f t="shared" si="21"/>
        <v>18.77</v>
      </c>
      <c r="L33" s="118">
        <v>60</v>
      </c>
      <c r="M33" s="118">
        <f t="shared" si="22"/>
        <v>1450.24</v>
      </c>
      <c r="N33" s="41">
        <f t="shared" si="23"/>
        <v>1042.94</v>
      </c>
      <c r="O33" s="117">
        <f t="shared" si="24"/>
        <v>148.99</v>
      </c>
      <c r="P33" s="117">
        <f t="shared" si="25"/>
        <v>297.98</v>
      </c>
      <c r="Q33" s="117">
        <f t="shared" si="26"/>
        <v>595.97</v>
      </c>
    </row>
    <row r="34" s="1" customFormat="1" ht="18" customHeight="1" spans="1:17">
      <c r="A34" s="10">
        <v>440523</v>
      </c>
      <c r="B34" s="10" t="s">
        <v>66</v>
      </c>
      <c r="C34" s="120">
        <v>0.85</v>
      </c>
      <c r="D34" s="10" t="s">
        <v>68</v>
      </c>
      <c r="E34" s="46">
        <v>46196</v>
      </c>
      <c r="F34" s="46">
        <v>712</v>
      </c>
      <c r="G34" s="110">
        <f t="shared" si="17"/>
        <v>31625</v>
      </c>
      <c r="H34" s="110">
        <f t="shared" si="18"/>
        <v>2846</v>
      </c>
      <c r="I34" s="115">
        <f t="shared" si="19"/>
        <v>63.25</v>
      </c>
      <c r="J34" s="116">
        <f t="shared" si="20"/>
        <v>19.92</v>
      </c>
      <c r="K34" s="117">
        <f t="shared" si="21"/>
        <v>1.42</v>
      </c>
      <c r="L34" s="118">
        <v>60</v>
      </c>
      <c r="M34" s="118">
        <f t="shared" si="22"/>
        <v>144.59</v>
      </c>
      <c r="N34" s="41">
        <f t="shared" si="23"/>
        <v>63.25</v>
      </c>
      <c r="O34" s="117">
        <f t="shared" si="24"/>
        <v>9.04</v>
      </c>
      <c r="P34" s="117">
        <f t="shared" si="25"/>
        <v>18.07</v>
      </c>
      <c r="Q34" s="117">
        <f t="shared" si="26"/>
        <v>36.14</v>
      </c>
    </row>
    <row r="35" s="4" customFormat="1" ht="18" customHeight="1" spans="1:17">
      <c r="A35" s="22">
        <v>440700</v>
      </c>
      <c r="B35" s="22" t="s">
        <v>69</v>
      </c>
      <c r="C35" s="107"/>
      <c r="D35" s="23" t="s">
        <v>70</v>
      </c>
      <c r="E35" s="108">
        <f t="shared" ref="E35:Q35" si="27">SUM(E36:E40)</f>
        <v>1910085</v>
      </c>
      <c r="F35" s="108">
        <f t="shared" si="27"/>
        <v>135514</v>
      </c>
      <c r="G35" s="108">
        <f t="shared" si="27"/>
        <v>1201546</v>
      </c>
      <c r="H35" s="108">
        <f t="shared" si="27"/>
        <v>108140</v>
      </c>
      <c r="I35" s="114">
        <f t="shared" si="27"/>
        <v>2403.09</v>
      </c>
      <c r="J35" s="107">
        <f t="shared" si="27"/>
        <v>756.97</v>
      </c>
      <c r="K35" s="114">
        <f t="shared" si="27"/>
        <v>97.46</v>
      </c>
      <c r="L35" s="114">
        <f t="shared" si="27"/>
        <v>265</v>
      </c>
      <c r="M35" s="114">
        <f t="shared" si="27"/>
        <v>3522.52</v>
      </c>
      <c r="N35" s="114">
        <f t="shared" si="27"/>
        <v>2403.09</v>
      </c>
      <c r="O35" s="114">
        <f t="shared" si="27"/>
        <v>343.3</v>
      </c>
      <c r="P35" s="114">
        <f t="shared" si="27"/>
        <v>686.61</v>
      </c>
      <c r="Q35" s="114">
        <f t="shared" si="27"/>
        <v>1373.18</v>
      </c>
    </row>
    <row r="36" s="4" customFormat="1" ht="18" customHeight="1" spans="1:17">
      <c r="A36" s="22"/>
      <c r="B36" s="22"/>
      <c r="C36" s="122">
        <v>0</v>
      </c>
      <c r="D36" s="10" t="s">
        <v>58</v>
      </c>
      <c r="E36" s="108"/>
      <c r="F36" s="108"/>
      <c r="G36" s="108"/>
      <c r="H36" s="108"/>
      <c r="I36" s="115">
        <f>ROUND(G36*20/10000,2)</f>
        <v>0</v>
      </c>
      <c r="J36" s="107">
        <v>0</v>
      </c>
      <c r="K36" s="117">
        <f>ROUND(H36*0.4*10/10000,2)</f>
        <v>0</v>
      </c>
      <c r="L36" s="118">
        <v>25</v>
      </c>
      <c r="M36" s="118">
        <f>SUM(I36:L36)</f>
        <v>25</v>
      </c>
      <c r="N36" s="41">
        <f>I36</f>
        <v>0</v>
      </c>
      <c r="O36" s="117">
        <f>ROUND((E36-F36/0.7)*0.1*0.002,2)</f>
        <v>0</v>
      </c>
      <c r="P36" s="117">
        <f>ROUND((E36-F36/0.7)*0.2*0.002,2)</f>
        <v>0</v>
      </c>
      <c r="Q36" s="117">
        <f>N36-O36-P36</f>
        <v>0</v>
      </c>
    </row>
    <row r="37" s="1" customFormat="1" ht="18" customHeight="1" spans="1:17">
      <c r="A37" s="10">
        <v>440781</v>
      </c>
      <c r="B37" s="10" t="s">
        <v>69</v>
      </c>
      <c r="C37" s="120">
        <v>0.65</v>
      </c>
      <c r="D37" s="10" t="s">
        <v>71</v>
      </c>
      <c r="E37" s="46">
        <v>648417</v>
      </c>
      <c r="F37" s="46">
        <v>33006</v>
      </c>
      <c r="G37" s="110">
        <f>ROUND(E37*0.7-F37,0)</f>
        <v>420886</v>
      </c>
      <c r="H37" s="110">
        <f>ROUND(G37*0.09,0)</f>
        <v>37880</v>
      </c>
      <c r="I37" s="115">
        <f>ROUND(G37*20/10000,2)</f>
        <v>841.77</v>
      </c>
      <c r="J37" s="116">
        <f>ROUND(G37*0.5*0.6*21/10000,2)</f>
        <v>265.16</v>
      </c>
      <c r="K37" s="117">
        <f>ROUND((H37+F37)*0.4*10/10000,2)</f>
        <v>28.35</v>
      </c>
      <c r="L37" s="118">
        <v>60</v>
      </c>
      <c r="M37" s="118">
        <f>SUM(I37:L37)</f>
        <v>1195.28</v>
      </c>
      <c r="N37" s="41">
        <f>I37</f>
        <v>841.77</v>
      </c>
      <c r="O37" s="117">
        <f>ROUND((E37-F37/0.7)*0.1*0.002,2)</f>
        <v>120.25</v>
      </c>
      <c r="P37" s="117">
        <f>ROUND((E37-F37/0.7)*0.2*0.002,2)</f>
        <v>240.51</v>
      </c>
      <c r="Q37" s="117">
        <f>N37-O37-P37</f>
        <v>481.01</v>
      </c>
    </row>
    <row r="38" s="1" customFormat="1" ht="18" customHeight="1" spans="1:17">
      <c r="A38" s="10">
        <v>440783</v>
      </c>
      <c r="B38" s="10" t="s">
        <v>69</v>
      </c>
      <c r="C38" s="120">
        <v>0.65</v>
      </c>
      <c r="D38" s="10" t="s">
        <v>72</v>
      </c>
      <c r="E38" s="46">
        <v>521740</v>
      </c>
      <c r="F38" s="46">
        <v>48264</v>
      </c>
      <c r="G38" s="110">
        <f>ROUND(E38*0.7-F38,0)</f>
        <v>316954</v>
      </c>
      <c r="H38" s="110">
        <f>ROUND(G38*0.09,0)</f>
        <v>28526</v>
      </c>
      <c r="I38" s="115">
        <f>ROUND(G38*20/10000,2)</f>
        <v>633.91</v>
      </c>
      <c r="J38" s="116">
        <f>ROUND(G38*0.5*0.6*21/10000,2)</f>
        <v>199.68</v>
      </c>
      <c r="K38" s="117">
        <f>ROUND((H38+F38)*0.4*10/10000,2)</f>
        <v>30.72</v>
      </c>
      <c r="L38" s="118">
        <v>60</v>
      </c>
      <c r="M38" s="118">
        <f>SUM(I38:L38)</f>
        <v>924.31</v>
      </c>
      <c r="N38" s="41">
        <f>I38</f>
        <v>633.91</v>
      </c>
      <c r="O38" s="117">
        <f>ROUND((E38-F38/0.7)*0.1*0.002,2)</f>
        <v>90.56</v>
      </c>
      <c r="P38" s="117">
        <f>ROUND((E38-F38/0.7)*0.2*0.002,2)</f>
        <v>181.12</v>
      </c>
      <c r="Q38" s="117">
        <f>N38-O38-P38</f>
        <v>362.23</v>
      </c>
    </row>
    <row r="39" s="1" customFormat="1" ht="18" customHeight="1" spans="1:17">
      <c r="A39" s="10">
        <v>440784</v>
      </c>
      <c r="B39" s="10" t="s">
        <v>69</v>
      </c>
      <c r="C39" s="120">
        <v>0.65</v>
      </c>
      <c r="D39" s="10" t="s">
        <v>73</v>
      </c>
      <c r="E39" s="46">
        <v>391945</v>
      </c>
      <c r="F39" s="46">
        <v>22155</v>
      </c>
      <c r="G39" s="110">
        <f>ROUND(E39*0.7-F39,0)</f>
        <v>252207</v>
      </c>
      <c r="H39" s="110">
        <f>ROUND(G39*0.09,0)</f>
        <v>22699</v>
      </c>
      <c r="I39" s="115">
        <f>ROUND(G39*20/10000,2)</f>
        <v>504.41</v>
      </c>
      <c r="J39" s="116">
        <f>ROUND(G39*0.5*0.6*21/10000,2)</f>
        <v>158.89</v>
      </c>
      <c r="K39" s="117">
        <f>ROUND((H39+F39)*0.4*10/10000,2)</f>
        <v>17.94</v>
      </c>
      <c r="L39" s="118">
        <v>60</v>
      </c>
      <c r="M39" s="118">
        <f>SUM(I39:L39)</f>
        <v>741.24</v>
      </c>
      <c r="N39" s="41">
        <f>I39</f>
        <v>504.41</v>
      </c>
      <c r="O39" s="117">
        <f>ROUND((E39-F39/0.7)*0.1*0.002,2)</f>
        <v>72.06</v>
      </c>
      <c r="P39" s="117">
        <f>ROUND((E39-F39/0.7)*0.2*0.002,2)</f>
        <v>144.12</v>
      </c>
      <c r="Q39" s="117">
        <f>N39-O39-P39</f>
        <v>288.23</v>
      </c>
    </row>
    <row r="40" s="1" customFormat="1" ht="18" customHeight="1" spans="1:17">
      <c r="A40" s="10">
        <v>440785</v>
      </c>
      <c r="B40" s="10" t="s">
        <v>69</v>
      </c>
      <c r="C40" s="120">
        <v>0.65</v>
      </c>
      <c r="D40" s="10" t="s">
        <v>74</v>
      </c>
      <c r="E40" s="46">
        <v>347983</v>
      </c>
      <c r="F40" s="46">
        <v>32089</v>
      </c>
      <c r="G40" s="110">
        <f>ROUND(E40*0.7-F40,0)</f>
        <v>211499</v>
      </c>
      <c r="H40" s="110">
        <f>ROUND(G40*0.09,0)</f>
        <v>19035</v>
      </c>
      <c r="I40" s="115">
        <f>ROUND(G40*20/10000,2)</f>
        <v>423</v>
      </c>
      <c r="J40" s="116">
        <f>ROUND(G40*0.5*0.6*21/10000,2)</f>
        <v>133.24</v>
      </c>
      <c r="K40" s="117">
        <f>ROUND((H40+F40)*0.4*10/10000,2)</f>
        <v>20.45</v>
      </c>
      <c r="L40" s="118">
        <v>60</v>
      </c>
      <c r="M40" s="118">
        <f>SUM(I40:L40)</f>
        <v>636.69</v>
      </c>
      <c r="N40" s="41">
        <f>I40</f>
        <v>423</v>
      </c>
      <c r="O40" s="117">
        <f>ROUND((E40-F40/0.7)*0.1*0.002,2)</f>
        <v>60.43</v>
      </c>
      <c r="P40" s="117">
        <f>ROUND((E40-F40/0.7)*0.2*0.002,2)</f>
        <v>120.86</v>
      </c>
      <c r="Q40" s="117">
        <f>N40-O40-P40</f>
        <v>241.71</v>
      </c>
    </row>
    <row r="41" s="4" customFormat="1" ht="18" customHeight="1" spans="1:17">
      <c r="A41" s="22">
        <v>440800</v>
      </c>
      <c r="B41" s="22" t="s">
        <v>75</v>
      </c>
      <c r="C41" s="107"/>
      <c r="D41" s="23" t="s">
        <v>76</v>
      </c>
      <c r="E41" s="108">
        <f t="shared" ref="E41:Q41" si="28">SUM(E42:E51)</f>
        <v>4318445</v>
      </c>
      <c r="F41" s="108">
        <f t="shared" si="28"/>
        <v>135836</v>
      </c>
      <c r="G41" s="108">
        <f t="shared" si="28"/>
        <v>2887075</v>
      </c>
      <c r="H41" s="108">
        <f t="shared" si="28"/>
        <v>259837</v>
      </c>
      <c r="I41" s="114">
        <f t="shared" si="28"/>
        <v>5774.14</v>
      </c>
      <c r="J41" s="107">
        <f t="shared" si="28"/>
        <v>1818.88</v>
      </c>
      <c r="K41" s="114">
        <f t="shared" si="28"/>
        <v>158.27</v>
      </c>
      <c r="L41" s="114">
        <f t="shared" si="28"/>
        <v>565</v>
      </c>
      <c r="M41" s="114">
        <f t="shared" si="28"/>
        <v>8316.29</v>
      </c>
      <c r="N41" s="114">
        <f t="shared" si="28"/>
        <v>5774.14</v>
      </c>
      <c r="O41" s="114">
        <f t="shared" si="28"/>
        <v>824.87</v>
      </c>
      <c r="P41" s="114">
        <f t="shared" si="28"/>
        <v>1649.77</v>
      </c>
      <c r="Q41" s="114">
        <f t="shared" si="28"/>
        <v>3299.5</v>
      </c>
    </row>
    <row r="42" s="4" customFormat="1" ht="18" customHeight="1" spans="1:17">
      <c r="A42" s="22"/>
      <c r="B42" s="22"/>
      <c r="C42" s="120">
        <v>0.85</v>
      </c>
      <c r="D42" s="10" t="s">
        <v>58</v>
      </c>
      <c r="E42" s="108"/>
      <c r="F42" s="108"/>
      <c r="G42" s="108"/>
      <c r="H42" s="108"/>
      <c r="I42" s="115">
        <f>ROUND(G42*20/10000,2)</f>
        <v>0</v>
      </c>
      <c r="J42" s="107">
        <v>0</v>
      </c>
      <c r="K42" s="117">
        <f>ROUND(H42*0.4*10/10000,2)</f>
        <v>0</v>
      </c>
      <c r="L42" s="118">
        <v>25</v>
      </c>
      <c r="M42" s="118">
        <f>SUM(I42:L42)</f>
        <v>25</v>
      </c>
      <c r="N42" s="41">
        <f>I42</f>
        <v>0</v>
      </c>
      <c r="O42" s="117">
        <f>ROUND((E42-F42/0.7)*0.1*0.002,2)</f>
        <v>0</v>
      </c>
      <c r="P42" s="117">
        <f>ROUND((E42-F42/0.7)*0.2*0.002,2)</f>
        <v>0</v>
      </c>
      <c r="Q42" s="117">
        <f>N42-O42-P42</f>
        <v>0</v>
      </c>
    </row>
    <row r="43" s="4" customFormat="1" ht="18" customHeight="1" spans="1:17">
      <c r="A43" s="22"/>
      <c r="B43" s="22"/>
      <c r="C43" s="109" t="s">
        <v>161</v>
      </c>
      <c r="D43" s="45" t="s">
        <v>171</v>
      </c>
      <c r="E43" s="46">
        <v>275596</v>
      </c>
      <c r="F43" s="108"/>
      <c r="G43" s="110">
        <f t="shared" ref="G43:G51" si="29">ROUND(E43*0.7-F43,0)</f>
        <v>192917</v>
      </c>
      <c r="H43" s="110">
        <f t="shared" ref="H43:H51" si="30">ROUND(G43*0.09,0)</f>
        <v>17363</v>
      </c>
      <c r="I43" s="115">
        <f t="shared" ref="I43:I51" si="31">ROUND(G43*20/10000,2)</f>
        <v>385.83</v>
      </c>
      <c r="J43" s="116">
        <f t="shared" ref="J43:J51" si="32">ROUND(G43*0.5*0.6*21/10000,2)</f>
        <v>121.54</v>
      </c>
      <c r="K43" s="117">
        <f t="shared" ref="K43:K51" si="33">ROUND((H43+F43)*0.4*10/10000,2)</f>
        <v>6.95</v>
      </c>
      <c r="L43" s="118">
        <v>60</v>
      </c>
      <c r="M43" s="118">
        <f t="shared" ref="M43:M51" si="34">SUM(I43:L43)</f>
        <v>574.32</v>
      </c>
      <c r="N43" s="41">
        <f t="shared" ref="N43:N51" si="35">I43</f>
        <v>385.83</v>
      </c>
      <c r="O43" s="117">
        <f t="shared" ref="O43:O51" si="36">ROUND((E43-F43/0.7)*0.1*0.002,2)</f>
        <v>55.12</v>
      </c>
      <c r="P43" s="117">
        <f t="shared" ref="P43:P51" si="37">ROUND((E43-F43/0.7)*0.2*0.002,2)</f>
        <v>110.24</v>
      </c>
      <c r="Q43" s="117">
        <f t="shared" ref="Q43:Q51" si="38">N43-O43-P43</f>
        <v>220.47</v>
      </c>
    </row>
    <row r="44" s="4" customFormat="1" ht="18" customHeight="1" spans="1:17">
      <c r="A44" s="22"/>
      <c r="B44" s="22"/>
      <c r="C44" s="109" t="s">
        <v>161</v>
      </c>
      <c r="D44" s="45" t="s">
        <v>172</v>
      </c>
      <c r="E44" s="46">
        <v>431264</v>
      </c>
      <c r="F44" s="108"/>
      <c r="G44" s="110">
        <f t="shared" si="29"/>
        <v>301885</v>
      </c>
      <c r="H44" s="110">
        <f t="shared" si="30"/>
        <v>27170</v>
      </c>
      <c r="I44" s="115">
        <f t="shared" si="31"/>
        <v>603.77</v>
      </c>
      <c r="J44" s="116">
        <f t="shared" si="32"/>
        <v>190.19</v>
      </c>
      <c r="K44" s="117">
        <f t="shared" si="33"/>
        <v>10.87</v>
      </c>
      <c r="L44" s="118">
        <v>60</v>
      </c>
      <c r="M44" s="118">
        <f t="shared" si="34"/>
        <v>864.83</v>
      </c>
      <c r="N44" s="41">
        <f t="shared" si="35"/>
        <v>603.77</v>
      </c>
      <c r="O44" s="117">
        <f t="shared" si="36"/>
        <v>86.25</v>
      </c>
      <c r="P44" s="117">
        <f t="shared" si="37"/>
        <v>172.51</v>
      </c>
      <c r="Q44" s="117">
        <f t="shared" si="38"/>
        <v>345.01</v>
      </c>
    </row>
    <row r="45" s="4" customFormat="1" ht="18" customHeight="1" spans="1:17">
      <c r="A45" s="22"/>
      <c r="B45" s="22"/>
      <c r="C45" s="109" t="s">
        <v>161</v>
      </c>
      <c r="D45" s="45" t="s">
        <v>173</v>
      </c>
      <c r="E45" s="46">
        <v>212622</v>
      </c>
      <c r="F45" s="108"/>
      <c r="G45" s="110">
        <f t="shared" si="29"/>
        <v>148835</v>
      </c>
      <c r="H45" s="110">
        <f t="shared" si="30"/>
        <v>13395</v>
      </c>
      <c r="I45" s="115">
        <f t="shared" si="31"/>
        <v>297.67</v>
      </c>
      <c r="J45" s="116">
        <f t="shared" si="32"/>
        <v>93.77</v>
      </c>
      <c r="K45" s="117">
        <f t="shared" si="33"/>
        <v>5.36</v>
      </c>
      <c r="L45" s="118">
        <v>60</v>
      </c>
      <c r="M45" s="118">
        <f t="shared" si="34"/>
        <v>456.8</v>
      </c>
      <c r="N45" s="41">
        <f t="shared" si="35"/>
        <v>297.67</v>
      </c>
      <c r="O45" s="117">
        <f t="shared" si="36"/>
        <v>42.52</v>
      </c>
      <c r="P45" s="117">
        <f t="shared" si="37"/>
        <v>85.05</v>
      </c>
      <c r="Q45" s="117">
        <f t="shared" si="38"/>
        <v>170.1</v>
      </c>
    </row>
    <row r="46" s="4" customFormat="1" ht="18" customHeight="1" spans="1:17">
      <c r="A46" s="22"/>
      <c r="B46" s="22"/>
      <c r="C46" s="109" t="s">
        <v>161</v>
      </c>
      <c r="D46" s="45" t="s">
        <v>174</v>
      </c>
      <c r="E46" s="46">
        <v>319607</v>
      </c>
      <c r="F46" s="108"/>
      <c r="G46" s="110">
        <f t="shared" si="29"/>
        <v>223725</v>
      </c>
      <c r="H46" s="110">
        <f t="shared" si="30"/>
        <v>20135</v>
      </c>
      <c r="I46" s="115">
        <f t="shared" si="31"/>
        <v>447.45</v>
      </c>
      <c r="J46" s="116">
        <f t="shared" si="32"/>
        <v>140.95</v>
      </c>
      <c r="K46" s="117">
        <f t="shared" si="33"/>
        <v>8.05</v>
      </c>
      <c r="L46" s="118">
        <v>60</v>
      </c>
      <c r="M46" s="118">
        <f t="shared" si="34"/>
        <v>656.45</v>
      </c>
      <c r="N46" s="41">
        <f t="shared" si="35"/>
        <v>447.45</v>
      </c>
      <c r="O46" s="117">
        <f t="shared" si="36"/>
        <v>63.92</v>
      </c>
      <c r="P46" s="117">
        <f t="shared" si="37"/>
        <v>127.84</v>
      </c>
      <c r="Q46" s="117">
        <f t="shared" si="38"/>
        <v>255.69</v>
      </c>
    </row>
    <row r="47" s="1" customFormat="1" ht="18" customHeight="1" spans="1:17">
      <c r="A47" s="10">
        <v>440823</v>
      </c>
      <c r="B47" s="10" t="s">
        <v>75</v>
      </c>
      <c r="C47" s="120">
        <v>0.85</v>
      </c>
      <c r="D47" s="10" t="s">
        <v>77</v>
      </c>
      <c r="E47" s="46">
        <v>497405</v>
      </c>
      <c r="F47" s="46">
        <v>18499</v>
      </c>
      <c r="G47" s="110">
        <f t="shared" si="29"/>
        <v>329685</v>
      </c>
      <c r="H47" s="110">
        <f t="shared" si="30"/>
        <v>29672</v>
      </c>
      <c r="I47" s="115">
        <f t="shared" si="31"/>
        <v>659.37</v>
      </c>
      <c r="J47" s="116">
        <f t="shared" si="32"/>
        <v>207.7</v>
      </c>
      <c r="K47" s="117">
        <f t="shared" si="33"/>
        <v>19.27</v>
      </c>
      <c r="L47" s="118">
        <v>60</v>
      </c>
      <c r="M47" s="118">
        <f t="shared" si="34"/>
        <v>946.34</v>
      </c>
      <c r="N47" s="41">
        <f t="shared" si="35"/>
        <v>659.37</v>
      </c>
      <c r="O47" s="117">
        <f t="shared" si="36"/>
        <v>94.2</v>
      </c>
      <c r="P47" s="117">
        <f t="shared" si="37"/>
        <v>188.39</v>
      </c>
      <c r="Q47" s="117">
        <f t="shared" si="38"/>
        <v>376.78</v>
      </c>
    </row>
    <row r="48" s="1" customFormat="1" ht="18" customHeight="1" spans="1:17">
      <c r="A48" s="10">
        <v>440825</v>
      </c>
      <c r="B48" s="10" t="s">
        <v>75</v>
      </c>
      <c r="C48" s="120">
        <v>0.85</v>
      </c>
      <c r="D48" s="10" t="s">
        <v>78</v>
      </c>
      <c r="E48" s="46">
        <v>454269</v>
      </c>
      <c r="F48" s="46">
        <v>18583</v>
      </c>
      <c r="G48" s="110">
        <f t="shared" si="29"/>
        <v>299405</v>
      </c>
      <c r="H48" s="110">
        <f t="shared" si="30"/>
        <v>26946</v>
      </c>
      <c r="I48" s="115">
        <f t="shared" si="31"/>
        <v>598.81</v>
      </c>
      <c r="J48" s="116">
        <f t="shared" si="32"/>
        <v>188.63</v>
      </c>
      <c r="K48" s="117">
        <f t="shared" si="33"/>
        <v>18.21</v>
      </c>
      <c r="L48" s="118">
        <v>60</v>
      </c>
      <c r="M48" s="118">
        <f t="shared" si="34"/>
        <v>865.65</v>
      </c>
      <c r="N48" s="41">
        <f t="shared" si="35"/>
        <v>598.81</v>
      </c>
      <c r="O48" s="117">
        <f t="shared" si="36"/>
        <v>85.54</v>
      </c>
      <c r="P48" s="117">
        <f t="shared" si="37"/>
        <v>171.09</v>
      </c>
      <c r="Q48" s="117">
        <f t="shared" si="38"/>
        <v>342.18</v>
      </c>
    </row>
    <row r="49" s="1" customFormat="1" ht="18" customHeight="1" spans="1:17">
      <c r="A49" s="10">
        <v>440881</v>
      </c>
      <c r="B49" s="10" t="s">
        <v>75</v>
      </c>
      <c r="C49" s="120">
        <v>0.85</v>
      </c>
      <c r="D49" s="10" t="s">
        <v>79</v>
      </c>
      <c r="E49" s="46">
        <v>801879</v>
      </c>
      <c r="F49" s="46">
        <v>28973</v>
      </c>
      <c r="G49" s="110">
        <f t="shared" si="29"/>
        <v>532342</v>
      </c>
      <c r="H49" s="110">
        <f t="shared" si="30"/>
        <v>47911</v>
      </c>
      <c r="I49" s="115">
        <f t="shared" si="31"/>
        <v>1064.68</v>
      </c>
      <c r="J49" s="116">
        <f t="shared" si="32"/>
        <v>335.38</v>
      </c>
      <c r="K49" s="117">
        <f t="shared" si="33"/>
        <v>30.75</v>
      </c>
      <c r="L49" s="118">
        <v>60</v>
      </c>
      <c r="M49" s="118">
        <f t="shared" si="34"/>
        <v>1490.81</v>
      </c>
      <c r="N49" s="41">
        <f t="shared" si="35"/>
        <v>1064.68</v>
      </c>
      <c r="O49" s="117">
        <f t="shared" si="36"/>
        <v>152.1</v>
      </c>
      <c r="P49" s="117">
        <f t="shared" si="37"/>
        <v>304.2</v>
      </c>
      <c r="Q49" s="117">
        <f t="shared" si="38"/>
        <v>608.38</v>
      </c>
    </row>
    <row r="50" s="1" customFormat="1" ht="18" customHeight="1" spans="1:17">
      <c r="A50" s="10">
        <v>440882</v>
      </c>
      <c r="B50" s="10" t="s">
        <v>75</v>
      </c>
      <c r="C50" s="120">
        <v>0.85</v>
      </c>
      <c r="D50" s="10" t="s">
        <v>80</v>
      </c>
      <c r="E50" s="46">
        <v>775857</v>
      </c>
      <c r="F50" s="46">
        <v>16123</v>
      </c>
      <c r="G50" s="110">
        <f t="shared" si="29"/>
        <v>526977</v>
      </c>
      <c r="H50" s="110">
        <f t="shared" si="30"/>
        <v>47428</v>
      </c>
      <c r="I50" s="115">
        <f t="shared" si="31"/>
        <v>1053.95</v>
      </c>
      <c r="J50" s="116">
        <f t="shared" si="32"/>
        <v>332</v>
      </c>
      <c r="K50" s="117">
        <f t="shared" si="33"/>
        <v>25.42</v>
      </c>
      <c r="L50" s="118">
        <v>60</v>
      </c>
      <c r="M50" s="118">
        <f t="shared" si="34"/>
        <v>1471.37</v>
      </c>
      <c r="N50" s="41">
        <f t="shared" si="35"/>
        <v>1053.95</v>
      </c>
      <c r="O50" s="117">
        <f t="shared" si="36"/>
        <v>150.56</v>
      </c>
      <c r="P50" s="117">
        <f t="shared" si="37"/>
        <v>301.13</v>
      </c>
      <c r="Q50" s="117">
        <f t="shared" si="38"/>
        <v>602.26</v>
      </c>
    </row>
    <row r="51" s="1" customFormat="1" ht="18" customHeight="1" spans="1:17">
      <c r="A51" s="10">
        <v>440883</v>
      </c>
      <c r="B51" s="10" t="s">
        <v>75</v>
      </c>
      <c r="C51" s="120">
        <v>0.85</v>
      </c>
      <c r="D51" s="10" t="s">
        <v>81</v>
      </c>
      <c r="E51" s="46">
        <v>549946</v>
      </c>
      <c r="F51" s="46">
        <v>53658</v>
      </c>
      <c r="G51" s="110">
        <f t="shared" si="29"/>
        <v>331304</v>
      </c>
      <c r="H51" s="110">
        <f t="shared" si="30"/>
        <v>29817</v>
      </c>
      <c r="I51" s="115">
        <f t="shared" si="31"/>
        <v>662.61</v>
      </c>
      <c r="J51" s="116">
        <f t="shared" si="32"/>
        <v>208.72</v>
      </c>
      <c r="K51" s="117">
        <f t="shared" si="33"/>
        <v>33.39</v>
      </c>
      <c r="L51" s="118">
        <v>60</v>
      </c>
      <c r="M51" s="118">
        <f t="shared" si="34"/>
        <v>964.72</v>
      </c>
      <c r="N51" s="41">
        <f t="shared" si="35"/>
        <v>662.61</v>
      </c>
      <c r="O51" s="117">
        <f t="shared" si="36"/>
        <v>94.66</v>
      </c>
      <c r="P51" s="117">
        <f t="shared" si="37"/>
        <v>189.32</v>
      </c>
      <c r="Q51" s="117">
        <f t="shared" si="38"/>
        <v>378.63</v>
      </c>
    </row>
    <row r="52" s="4" customFormat="1" ht="18" customHeight="1" spans="1:17">
      <c r="A52" s="22">
        <v>440900</v>
      </c>
      <c r="B52" s="22" t="s">
        <v>82</v>
      </c>
      <c r="C52" s="107"/>
      <c r="D52" s="23" t="s">
        <v>83</v>
      </c>
      <c r="E52" s="108">
        <f t="shared" ref="E52:Q52" si="39">SUM(E53:E58)</f>
        <v>3404285</v>
      </c>
      <c r="F52" s="108">
        <f t="shared" si="39"/>
        <v>80589</v>
      </c>
      <c r="G52" s="108">
        <f t="shared" si="39"/>
        <v>2202410</v>
      </c>
      <c r="H52" s="108">
        <f t="shared" si="39"/>
        <v>198217</v>
      </c>
      <c r="I52" s="114">
        <f t="shared" si="39"/>
        <v>4404.83</v>
      </c>
      <c r="J52" s="107">
        <f t="shared" si="39"/>
        <v>1387.52</v>
      </c>
      <c r="K52" s="114">
        <f t="shared" si="39"/>
        <v>111.53</v>
      </c>
      <c r="L52" s="114">
        <f t="shared" si="39"/>
        <v>325</v>
      </c>
      <c r="M52" s="114">
        <f t="shared" si="39"/>
        <v>6228.88</v>
      </c>
      <c r="N52" s="114">
        <f t="shared" si="39"/>
        <v>4404.83</v>
      </c>
      <c r="O52" s="114">
        <f t="shared" si="39"/>
        <v>657.83</v>
      </c>
      <c r="P52" s="114">
        <f t="shared" si="39"/>
        <v>1315.67</v>
      </c>
      <c r="Q52" s="114">
        <f t="shared" si="39"/>
        <v>2431.33</v>
      </c>
    </row>
    <row r="53" s="4" customFormat="1" ht="18" customHeight="1" spans="1:17">
      <c r="A53" s="22"/>
      <c r="B53" s="22"/>
      <c r="C53" s="120">
        <v>0.85</v>
      </c>
      <c r="D53" s="10" t="s">
        <v>58</v>
      </c>
      <c r="E53" s="108"/>
      <c r="F53" s="108"/>
      <c r="G53" s="108"/>
      <c r="H53" s="108"/>
      <c r="I53" s="115">
        <f t="shared" ref="I53:I58" si="40">ROUND(G53*20/10000,2)</f>
        <v>0</v>
      </c>
      <c r="J53" s="107">
        <v>0</v>
      </c>
      <c r="K53" s="117">
        <f>ROUND(H53*0.4*10/10000,2)</f>
        <v>0</v>
      </c>
      <c r="L53" s="118">
        <v>25</v>
      </c>
      <c r="M53" s="118">
        <f t="shared" ref="M53:M58" si="41">SUM(I53:L53)</f>
        <v>25</v>
      </c>
      <c r="N53" s="41">
        <f t="shared" ref="N53:N58" si="42">I53</f>
        <v>0</v>
      </c>
      <c r="O53" s="117">
        <f t="shared" ref="O53:O58" si="43">ROUND((E53-F53/0.7)*0.1*0.002,2)</f>
        <v>0</v>
      </c>
      <c r="P53" s="117">
        <f t="shared" ref="P53:P58" si="44">ROUND((E53-F53/0.7)*0.2*0.002,2)</f>
        <v>0</v>
      </c>
      <c r="Q53" s="117">
        <f t="shared" ref="Q53:Q58" si="45">N53-O53-P53</f>
        <v>0</v>
      </c>
    </row>
    <row r="54" s="4" customFormat="1" ht="18" customHeight="1" spans="1:17">
      <c r="A54" s="22"/>
      <c r="B54" s="22"/>
      <c r="C54" s="109" t="s">
        <v>161</v>
      </c>
      <c r="D54" s="45" t="s">
        <v>175</v>
      </c>
      <c r="E54" s="46">
        <v>650822</v>
      </c>
      <c r="F54" s="108"/>
      <c r="G54" s="110">
        <f>ROUND(E54*0.7-F54,0)</f>
        <v>455575</v>
      </c>
      <c r="H54" s="110">
        <f>ROUND(G54*0.09,0)</f>
        <v>41002</v>
      </c>
      <c r="I54" s="115">
        <f t="shared" si="40"/>
        <v>911.15</v>
      </c>
      <c r="J54" s="116">
        <f>ROUND(G54*0.5*0.6*21/10000,2)</f>
        <v>287.01</v>
      </c>
      <c r="K54" s="117">
        <f>ROUND((H54+F54)*0.4*10/10000,2)</f>
        <v>16.4</v>
      </c>
      <c r="L54" s="118">
        <v>60</v>
      </c>
      <c r="M54" s="118">
        <f t="shared" si="41"/>
        <v>1274.56</v>
      </c>
      <c r="N54" s="41">
        <f t="shared" si="42"/>
        <v>911.15</v>
      </c>
      <c r="O54" s="117">
        <f t="shared" si="43"/>
        <v>130.16</v>
      </c>
      <c r="P54" s="117">
        <f t="shared" si="44"/>
        <v>260.33</v>
      </c>
      <c r="Q54" s="117">
        <f t="shared" si="45"/>
        <v>520.66</v>
      </c>
    </row>
    <row r="55" s="4" customFormat="1" ht="18" customHeight="1" spans="1:17">
      <c r="A55" s="22"/>
      <c r="B55" s="22"/>
      <c r="C55" s="109" t="s">
        <v>161</v>
      </c>
      <c r="D55" s="45" t="s">
        <v>176</v>
      </c>
      <c r="E55" s="46">
        <v>893200</v>
      </c>
      <c r="F55" s="108"/>
      <c r="G55" s="110">
        <f>ROUND(E55*0.7-F55,0)</f>
        <v>625240</v>
      </c>
      <c r="H55" s="110">
        <f>ROUND(G55*0.09,0)</f>
        <v>56272</v>
      </c>
      <c r="I55" s="115">
        <f t="shared" si="40"/>
        <v>1250.48</v>
      </c>
      <c r="J55" s="116">
        <f>ROUND(G55*0.5*0.6*21/10000,2)</f>
        <v>393.9</v>
      </c>
      <c r="K55" s="117">
        <f>ROUND((H55+F55)*0.4*10/10000,2)</f>
        <v>22.51</v>
      </c>
      <c r="L55" s="118">
        <v>60</v>
      </c>
      <c r="M55" s="118">
        <f t="shared" si="41"/>
        <v>1726.89</v>
      </c>
      <c r="N55" s="41">
        <f t="shared" si="42"/>
        <v>1250.48</v>
      </c>
      <c r="O55" s="117">
        <f t="shared" si="43"/>
        <v>178.64</v>
      </c>
      <c r="P55" s="117">
        <f t="shared" si="44"/>
        <v>357.28</v>
      </c>
      <c r="Q55" s="117">
        <f t="shared" si="45"/>
        <v>714.56</v>
      </c>
    </row>
    <row r="56" s="1" customFormat="1" ht="18" customHeight="1" spans="1:17">
      <c r="A56" s="10">
        <v>440981</v>
      </c>
      <c r="B56" s="10" t="s">
        <v>82</v>
      </c>
      <c r="C56" s="120">
        <v>0.85</v>
      </c>
      <c r="D56" s="10" t="s">
        <v>84</v>
      </c>
      <c r="E56" s="46">
        <v>712309</v>
      </c>
      <c r="F56" s="46">
        <v>35048</v>
      </c>
      <c r="G56" s="110">
        <f t="shared" ref="G56:G65" si="46">ROUND(E56*0.7-F56,0)</f>
        <v>463568</v>
      </c>
      <c r="H56" s="110">
        <f t="shared" ref="H56:H58" si="47">ROUND(G56*0.09,0)</f>
        <v>41721</v>
      </c>
      <c r="I56" s="115">
        <f t="shared" si="40"/>
        <v>927.14</v>
      </c>
      <c r="J56" s="116">
        <f t="shared" ref="J56:J58" si="48">ROUND(G56*0.5*0.6*21/10000,2)</f>
        <v>292.05</v>
      </c>
      <c r="K56" s="117">
        <f t="shared" ref="K56:K58" si="49">ROUND((H56+F56)*0.4*10/10000,2)</f>
        <v>30.71</v>
      </c>
      <c r="L56" s="118">
        <v>60</v>
      </c>
      <c r="M56" s="118">
        <f t="shared" si="41"/>
        <v>1309.9</v>
      </c>
      <c r="N56" s="41">
        <f t="shared" si="42"/>
        <v>927.14</v>
      </c>
      <c r="O56" s="117">
        <f t="shared" si="43"/>
        <v>132.45</v>
      </c>
      <c r="P56" s="117">
        <f t="shared" si="44"/>
        <v>264.9</v>
      </c>
      <c r="Q56" s="117">
        <f t="shared" si="45"/>
        <v>529.79</v>
      </c>
    </row>
    <row r="57" s="1" customFormat="1" ht="18" customHeight="1" spans="1:17">
      <c r="A57" s="10">
        <v>440982</v>
      </c>
      <c r="B57" s="10" t="s">
        <v>82</v>
      </c>
      <c r="C57" s="120">
        <v>0.85</v>
      </c>
      <c r="D57" s="10" t="s">
        <v>85</v>
      </c>
      <c r="E57" s="46">
        <v>614131</v>
      </c>
      <c r="F57" s="46">
        <v>19558</v>
      </c>
      <c r="G57" s="123">
        <f>ROUND(E57*0.7-100000-F57,0)</f>
        <v>310334</v>
      </c>
      <c r="H57" s="110">
        <f t="shared" si="47"/>
        <v>27930</v>
      </c>
      <c r="I57" s="115">
        <f t="shared" si="40"/>
        <v>620.67</v>
      </c>
      <c r="J57" s="116">
        <f t="shared" si="48"/>
        <v>195.51</v>
      </c>
      <c r="K57" s="117">
        <f t="shared" si="49"/>
        <v>19</v>
      </c>
      <c r="L57" s="118">
        <v>60</v>
      </c>
      <c r="M57" s="118">
        <f t="shared" si="41"/>
        <v>895.18</v>
      </c>
      <c r="N57" s="41">
        <f t="shared" si="42"/>
        <v>620.67</v>
      </c>
      <c r="O57" s="117">
        <f t="shared" si="43"/>
        <v>117.24</v>
      </c>
      <c r="P57" s="117">
        <f t="shared" si="44"/>
        <v>234.48</v>
      </c>
      <c r="Q57" s="117">
        <f t="shared" si="45"/>
        <v>268.95</v>
      </c>
    </row>
    <row r="58" s="1" customFormat="1" ht="18" customHeight="1" spans="1:17">
      <c r="A58" s="10">
        <v>440983</v>
      </c>
      <c r="B58" s="10" t="s">
        <v>82</v>
      </c>
      <c r="C58" s="120">
        <v>0.85</v>
      </c>
      <c r="D58" s="10" t="s">
        <v>86</v>
      </c>
      <c r="E58" s="46">
        <v>533823</v>
      </c>
      <c r="F58" s="46">
        <v>25983</v>
      </c>
      <c r="G58" s="110">
        <f t="shared" si="46"/>
        <v>347693</v>
      </c>
      <c r="H58" s="110">
        <f t="shared" si="47"/>
        <v>31292</v>
      </c>
      <c r="I58" s="115">
        <f t="shared" si="40"/>
        <v>695.39</v>
      </c>
      <c r="J58" s="116">
        <f t="shared" si="48"/>
        <v>219.05</v>
      </c>
      <c r="K58" s="117">
        <f t="shared" si="49"/>
        <v>22.91</v>
      </c>
      <c r="L58" s="118">
        <v>60</v>
      </c>
      <c r="M58" s="118">
        <f t="shared" si="41"/>
        <v>997.35</v>
      </c>
      <c r="N58" s="41">
        <f t="shared" si="42"/>
        <v>695.39</v>
      </c>
      <c r="O58" s="117">
        <f t="shared" si="43"/>
        <v>99.34</v>
      </c>
      <c r="P58" s="117">
        <f t="shared" si="44"/>
        <v>198.68</v>
      </c>
      <c r="Q58" s="117">
        <f t="shared" si="45"/>
        <v>397.37</v>
      </c>
    </row>
    <row r="59" s="4" customFormat="1" ht="18" customHeight="1" spans="1:17">
      <c r="A59" s="22">
        <v>441200</v>
      </c>
      <c r="B59" s="22" t="s">
        <v>87</v>
      </c>
      <c r="C59" s="107"/>
      <c r="D59" s="23" t="s">
        <v>88</v>
      </c>
      <c r="E59" s="108">
        <f t="shared" ref="E59:Q59" si="50">SUM(E60:E65)</f>
        <v>1384019</v>
      </c>
      <c r="F59" s="108">
        <f t="shared" si="50"/>
        <v>71147</v>
      </c>
      <c r="G59" s="108">
        <f t="shared" si="50"/>
        <v>897667</v>
      </c>
      <c r="H59" s="108">
        <f t="shared" si="50"/>
        <v>80790</v>
      </c>
      <c r="I59" s="114">
        <f t="shared" si="50"/>
        <v>1795.32</v>
      </c>
      <c r="J59" s="107">
        <f t="shared" si="50"/>
        <v>565.54</v>
      </c>
      <c r="K59" s="114">
        <f t="shared" si="50"/>
        <v>60.77</v>
      </c>
      <c r="L59" s="114">
        <f t="shared" si="50"/>
        <v>325</v>
      </c>
      <c r="M59" s="114">
        <f t="shared" si="50"/>
        <v>2746.63</v>
      </c>
      <c r="N59" s="114">
        <f t="shared" si="50"/>
        <v>1795.32</v>
      </c>
      <c r="O59" s="114">
        <f t="shared" si="50"/>
        <v>256.48</v>
      </c>
      <c r="P59" s="114">
        <f t="shared" si="50"/>
        <v>512.95</v>
      </c>
      <c r="Q59" s="114">
        <f t="shared" si="50"/>
        <v>1025.89</v>
      </c>
    </row>
    <row r="60" s="4" customFormat="1" ht="18" customHeight="1" spans="1:17">
      <c r="A60" s="22"/>
      <c r="B60" s="22"/>
      <c r="C60" s="120">
        <v>0.65</v>
      </c>
      <c r="D60" s="10" t="s">
        <v>58</v>
      </c>
      <c r="E60" s="108"/>
      <c r="F60" s="108"/>
      <c r="G60" s="108"/>
      <c r="H60" s="108"/>
      <c r="I60" s="115">
        <f t="shared" ref="I60:I65" si="51">ROUND(G60*20/10000,2)</f>
        <v>0</v>
      </c>
      <c r="J60" s="107">
        <v>0</v>
      </c>
      <c r="K60" s="117">
        <f>ROUND(H60*0.4*10/10000,2)</f>
        <v>0</v>
      </c>
      <c r="L60" s="118">
        <v>25</v>
      </c>
      <c r="M60" s="118">
        <f t="shared" ref="M60:M65" si="52">SUM(I60:L60)</f>
        <v>25</v>
      </c>
      <c r="N60" s="41">
        <f t="shared" ref="N60:N65" si="53">I60</f>
        <v>0</v>
      </c>
      <c r="O60" s="117">
        <f t="shared" ref="O60:O65" si="54">ROUND((E60-F60/0.7)*0.1*0.002,2)</f>
        <v>0</v>
      </c>
      <c r="P60" s="117">
        <f t="shared" ref="P60:P65" si="55">ROUND((E60-F60/0.7)*0.2*0.002,2)</f>
        <v>0</v>
      </c>
      <c r="Q60" s="117">
        <f t="shared" ref="Q60:Q65" si="56">N60-O60-P60</f>
        <v>0</v>
      </c>
    </row>
    <row r="61" s="1" customFormat="1" ht="18" customHeight="1" spans="1:17">
      <c r="A61" s="10">
        <v>441223</v>
      </c>
      <c r="B61" s="10" t="s">
        <v>87</v>
      </c>
      <c r="C61" s="120">
        <v>0.85</v>
      </c>
      <c r="D61" s="10" t="s">
        <v>89</v>
      </c>
      <c r="E61" s="46">
        <v>254266</v>
      </c>
      <c r="F61" s="46">
        <v>14149</v>
      </c>
      <c r="G61" s="110">
        <f t="shared" si="46"/>
        <v>163837</v>
      </c>
      <c r="H61" s="110">
        <f t="shared" ref="H61:H65" si="57">ROUND(G61*0.09,0)</f>
        <v>14745</v>
      </c>
      <c r="I61" s="115">
        <f t="shared" si="51"/>
        <v>327.67</v>
      </c>
      <c r="J61" s="116">
        <f t="shared" ref="J61:J65" si="58">ROUND(G61*0.5*0.6*21/10000,2)</f>
        <v>103.22</v>
      </c>
      <c r="K61" s="117">
        <f t="shared" ref="K61:K65" si="59">ROUND((H61+F61)*0.4*10/10000,2)</f>
        <v>11.56</v>
      </c>
      <c r="L61" s="118">
        <v>60</v>
      </c>
      <c r="M61" s="118">
        <f t="shared" si="52"/>
        <v>502.45</v>
      </c>
      <c r="N61" s="41">
        <f t="shared" si="53"/>
        <v>327.67</v>
      </c>
      <c r="O61" s="117">
        <f t="shared" si="54"/>
        <v>46.81</v>
      </c>
      <c r="P61" s="117">
        <f t="shared" si="55"/>
        <v>93.62</v>
      </c>
      <c r="Q61" s="117">
        <f t="shared" si="56"/>
        <v>187.24</v>
      </c>
    </row>
    <row r="62" s="1" customFormat="1" ht="18" customHeight="1" spans="1:17">
      <c r="A62" s="10">
        <v>441224</v>
      </c>
      <c r="B62" s="10" t="s">
        <v>87</v>
      </c>
      <c r="C62" s="120">
        <v>0.85</v>
      </c>
      <c r="D62" s="10" t="s">
        <v>90</v>
      </c>
      <c r="E62" s="46">
        <v>386138</v>
      </c>
      <c r="F62" s="46">
        <v>23002</v>
      </c>
      <c r="G62" s="110">
        <f t="shared" si="46"/>
        <v>247295</v>
      </c>
      <c r="H62" s="110">
        <f t="shared" si="57"/>
        <v>22257</v>
      </c>
      <c r="I62" s="115">
        <f t="shared" si="51"/>
        <v>494.59</v>
      </c>
      <c r="J62" s="116">
        <f t="shared" si="58"/>
        <v>155.8</v>
      </c>
      <c r="K62" s="117">
        <f t="shared" si="59"/>
        <v>18.1</v>
      </c>
      <c r="L62" s="118">
        <v>60</v>
      </c>
      <c r="M62" s="118">
        <f t="shared" si="52"/>
        <v>728.49</v>
      </c>
      <c r="N62" s="41">
        <f t="shared" si="53"/>
        <v>494.59</v>
      </c>
      <c r="O62" s="117">
        <f t="shared" si="54"/>
        <v>70.66</v>
      </c>
      <c r="P62" s="117">
        <f t="shared" si="55"/>
        <v>141.31</v>
      </c>
      <c r="Q62" s="117">
        <f t="shared" si="56"/>
        <v>282.62</v>
      </c>
    </row>
    <row r="63" s="1" customFormat="1" ht="18" customHeight="1" spans="1:17">
      <c r="A63" s="10">
        <v>441225</v>
      </c>
      <c r="B63" s="10" t="s">
        <v>87</v>
      </c>
      <c r="C63" s="120">
        <v>0.85</v>
      </c>
      <c r="D63" s="10" t="s">
        <v>91</v>
      </c>
      <c r="E63" s="46">
        <v>196861</v>
      </c>
      <c r="F63" s="46">
        <v>14286</v>
      </c>
      <c r="G63" s="110">
        <f t="shared" si="46"/>
        <v>123517</v>
      </c>
      <c r="H63" s="110">
        <f t="shared" si="57"/>
        <v>11117</v>
      </c>
      <c r="I63" s="115">
        <f t="shared" si="51"/>
        <v>247.03</v>
      </c>
      <c r="J63" s="116">
        <f t="shared" si="58"/>
        <v>77.82</v>
      </c>
      <c r="K63" s="117">
        <f t="shared" si="59"/>
        <v>10.16</v>
      </c>
      <c r="L63" s="118">
        <v>60</v>
      </c>
      <c r="M63" s="118">
        <f t="shared" si="52"/>
        <v>395.01</v>
      </c>
      <c r="N63" s="41">
        <f t="shared" si="53"/>
        <v>247.03</v>
      </c>
      <c r="O63" s="117">
        <f t="shared" si="54"/>
        <v>35.29</v>
      </c>
      <c r="P63" s="117">
        <f t="shared" si="55"/>
        <v>70.58</v>
      </c>
      <c r="Q63" s="117">
        <f t="shared" si="56"/>
        <v>141.16</v>
      </c>
    </row>
    <row r="64" s="1" customFormat="1" ht="18" customHeight="1" spans="1:17">
      <c r="A64" s="10">
        <v>441226</v>
      </c>
      <c r="B64" s="10" t="s">
        <v>87</v>
      </c>
      <c r="C64" s="120">
        <v>0.85</v>
      </c>
      <c r="D64" s="10" t="s">
        <v>92</v>
      </c>
      <c r="E64" s="46">
        <v>207985</v>
      </c>
      <c r="F64" s="46">
        <v>6944</v>
      </c>
      <c r="G64" s="110">
        <f t="shared" si="46"/>
        <v>138646</v>
      </c>
      <c r="H64" s="110">
        <f t="shared" si="57"/>
        <v>12478</v>
      </c>
      <c r="I64" s="115">
        <f t="shared" si="51"/>
        <v>277.29</v>
      </c>
      <c r="J64" s="116">
        <f t="shared" si="58"/>
        <v>87.35</v>
      </c>
      <c r="K64" s="117">
        <f t="shared" si="59"/>
        <v>7.77</v>
      </c>
      <c r="L64" s="118">
        <v>60</v>
      </c>
      <c r="M64" s="118">
        <f t="shared" si="52"/>
        <v>432.41</v>
      </c>
      <c r="N64" s="41">
        <f t="shared" si="53"/>
        <v>277.29</v>
      </c>
      <c r="O64" s="117">
        <f t="shared" si="54"/>
        <v>39.61</v>
      </c>
      <c r="P64" s="117">
        <f t="shared" si="55"/>
        <v>79.23</v>
      </c>
      <c r="Q64" s="117">
        <f t="shared" si="56"/>
        <v>158.45</v>
      </c>
    </row>
    <row r="65" s="1" customFormat="1" ht="18" customHeight="1" spans="1:17">
      <c r="A65" s="10">
        <v>441284</v>
      </c>
      <c r="B65" s="10" t="s">
        <v>87</v>
      </c>
      <c r="C65" s="120">
        <v>0.65</v>
      </c>
      <c r="D65" s="10" t="s">
        <v>93</v>
      </c>
      <c r="E65" s="46">
        <v>338769</v>
      </c>
      <c r="F65" s="46">
        <v>12766</v>
      </c>
      <c r="G65" s="110">
        <f t="shared" si="46"/>
        <v>224372</v>
      </c>
      <c r="H65" s="110">
        <f t="shared" si="57"/>
        <v>20193</v>
      </c>
      <c r="I65" s="115">
        <f t="shared" si="51"/>
        <v>448.74</v>
      </c>
      <c r="J65" s="116">
        <f t="shared" si="58"/>
        <v>141.35</v>
      </c>
      <c r="K65" s="117">
        <f t="shared" si="59"/>
        <v>13.18</v>
      </c>
      <c r="L65" s="118">
        <v>60</v>
      </c>
      <c r="M65" s="118">
        <f t="shared" si="52"/>
        <v>663.27</v>
      </c>
      <c r="N65" s="41">
        <f t="shared" si="53"/>
        <v>448.74</v>
      </c>
      <c r="O65" s="117">
        <f t="shared" si="54"/>
        <v>64.11</v>
      </c>
      <c r="P65" s="117">
        <f t="shared" si="55"/>
        <v>128.21</v>
      </c>
      <c r="Q65" s="117">
        <f t="shared" si="56"/>
        <v>256.42</v>
      </c>
    </row>
    <row r="66" s="4" customFormat="1" ht="18" customHeight="1" spans="1:17">
      <c r="A66" s="22">
        <v>441300</v>
      </c>
      <c r="B66" s="22" t="s">
        <v>94</v>
      </c>
      <c r="C66" s="107"/>
      <c r="D66" s="23" t="s">
        <v>95</v>
      </c>
      <c r="E66" s="108">
        <f t="shared" ref="E66:Q66" si="60">SUM(E67:E70)</f>
        <v>1656785</v>
      </c>
      <c r="F66" s="108">
        <f t="shared" si="60"/>
        <v>45262</v>
      </c>
      <c r="G66" s="108">
        <f t="shared" si="60"/>
        <v>1114488</v>
      </c>
      <c r="H66" s="108">
        <f t="shared" si="60"/>
        <v>100303</v>
      </c>
      <c r="I66" s="114">
        <f t="shared" si="60"/>
        <v>2228.98</v>
      </c>
      <c r="J66" s="107">
        <f t="shared" si="60"/>
        <v>702.12</v>
      </c>
      <c r="K66" s="114">
        <f t="shared" si="60"/>
        <v>58.23</v>
      </c>
      <c r="L66" s="114">
        <f t="shared" si="60"/>
        <v>205</v>
      </c>
      <c r="M66" s="114">
        <f t="shared" si="60"/>
        <v>3194.33</v>
      </c>
      <c r="N66" s="114">
        <f t="shared" si="60"/>
        <v>2228.98</v>
      </c>
      <c r="O66" s="114">
        <f t="shared" si="60"/>
        <v>318.42</v>
      </c>
      <c r="P66" s="114">
        <f t="shared" si="60"/>
        <v>636.85</v>
      </c>
      <c r="Q66" s="114">
        <f t="shared" si="60"/>
        <v>1273.71</v>
      </c>
    </row>
    <row r="67" s="4" customFormat="1" ht="18" customHeight="1" spans="1:17">
      <c r="A67" s="22"/>
      <c r="B67" s="22"/>
      <c r="C67" s="120">
        <v>0.65</v>
      </c>
      <c r="D67" s="10" t="s">
        <v>58</v>
      </c>
      <c r="E67" s="108"/>
      <c r="F67" s="108"/>
      <c r="G67" s="108"/>
      <c r="H67" s="108"/>
      <c r="I67" s="115">
        <f t="shared" ref="I67:I70" si="61">ROUND(G67*20/10000,2)</f>
        <v>0</v>
      </c>
      <c r="J67" s="107">
        <v>0</v>
      </c>
      <c r="K67" s="117">
        <f>ROUND(H67*0.4*10/10000,2)</f>
        <v>0</v>
      </c>
      <c r="L67" s="118">
        <v>25</v>
      </c>
      <c r="M67" s="118">
        <f>SUM(I67:L67)</f>
        <v>25</v>
      </c>
      <c r="N67" s="41">
        <f>I67</f>
        <v>0</v>
      </c>
      <c r="O67" s="117">
        <f>ROUND((E67-F67/0.7)*0.1*0.002,2)</f>
        <v>0</v>
      </c>
      <c r="P67" s="117">
        <f>ROUND((E67-F67/0.7)*0.2*0.002,2)</f>
        <v>0</v>
      </c>
      <c r="Q67" s="117">
        <f>N67-O67-P67</f>
        <v>0</v>
      </c>
    </row>
    <row r="68" s="1" customFormat="1" ht="18" customHeight="1" spans="1:17">
      <c r="A68" s="10">
        <v>441322</v>
      </c>
      <c r="B68" s="10" t="s">
        <v>94</v>
      </c>
      <c r="C68" s="120">
        <v>0.65</v>
      </c>
      <c r="D68" s="10" t="s">
        <v>96</v>
      </c>
      <c r="E68" s="46">
        <v>826100</v>
      </c>
      <c r="F68" s="46">
        <v>33822</v>
      </c>
      <c r="G68" s="110">
        <f t="shared" ref="G68:G70" si="62">ROUND(E68*0.7-F68,0)</f>
        <v>544448</v>
      </c>
      <c r="H68" s="110">
        <f t="shared" ref="H68:H70" si="63">ROUND(G68*0.09,0)</f>
        <v>49000</v>
      </c>
      <c r="I68" s="115">
        <f t="shared" si="61"/>
        <v>1088.9</v>
      </c>
      <c r="J68" s="116">
        <f t="shared" ref="J68:J70" si="64">ROUND(G68*0.5*0.6*21/10000,2)</f>
        <v>343</v>
      </c>
      <c r="K68" s="117">
        <f t="shared" ref="K68:K70" si="65">ROUND((H68+F68)*0.4*10/10000,2)</f>
        <v>33.13</v>
      </c>
      <c r="L68" s="118">
        <v>60</v>
      </c>
      <c r="M68" s="118">
        <f>SUM(I68:L68)</f>
        <v>1525.03</v>
      </c>
      <c r="N68" s="41">
        <f>I68</f>
        <v>1088.9</v>
      </c>
      <c r="O68" s="117">
        <f>ROUND((E68-F68/0.7)*0.1*0.002,2)</f>
        <v>155.56</v>
      </c>
      <c r="P68" s="117">
        <f>ROUND((E68-F68/0.7)*0.2*0.002,2)</f>
        <v>311.11</v>
      </c>
      <c r="Q68" s="117">
        <f>N68-O68-P68</f>
        <v>622.23</v>
      </c>
    </row>
    <row r="69" s="1" customFormat="1" ht="18" customHeight="1" spans="1:17">
      <c r="A69" s="10">
        <v>441323</v>
      </c>
      <c r="B69" s="10" t="s">
        <v>94</v>
      </c>
      <c r="C69" s="120">
        <v>1</v>
      </c>
      <c r="D69" s="10" t="s">
        <v>97</v>
      </c>
      <c r="E69" s="46">
        <v>667221</v>
      </c>
      <c r="F69" s="46">
        <v>10117</v>
      </c>
      <c r="G69" s="110">
        <f t="shared" si="62"/>
        <v>456938</v>
      </c>
      <c r="H69" s="110">
        <f t="shared" si="63"/>
        <v>41124</v>
      </c>
      <c r="I69" s="115">
        <f t="shared" si="61"/>
        <v>913.88</v>
      </c>
      <c r="J69" s="116">
        <f t="shared" si="64"/>
        <v>287.87</v>
      </c>
      <c r="K69" s="117">
        <f t="shared" si="65"/>
        <v>20.5</v>
      </c>
      <c r="L69" s="118">
        <v>60</v>
      </c>
      <c r="M69" s="118">
        <f>SUM(I69:L69)</f>
        <v>1282.25</v>
      </c>
      <c r="N69" s="41">
        <f>I69</f>
        <v>913.88</v>
      </c>
      <c r="O69" s="117">
        <f>ROUND((E69-F69/0.7)*0.1*0.002,2)</f>
        <v>130.55</v>
      </c>
      <c r="P69" s="117">
        <f>ROUND((E69-F69/0.7)*0.2*0.002,2)</f>
        <v>261.11</v>
      </c>
      <c r="Q69" s="117">
        <f>N69-O69-P69</f>
        <v>522.22</v>
      </c>
    </row>
    <row r="70" s="1" customFormat="1" ht="18" customHeight="1" spans="1:17">
      <c r="A70" s="10">
        <v>441324</v>
      </c>
      <c r="B70" s="10" t="s">
        <v>94</v>
      </c>
      <c r="C70" s="120">
        <v>0.85</v>
      </c>
      <c r="D70" s="10" t="s">
        <v>98</v>
      </c>
      <c r="E70" s="46">
        <v>163464</v>
      </c>
      <c r="F70" s="46">
        <v>1323</v>
      </c>
      <c r="G70" s="110">
        <f t="shared" si="62"/>
        <v>113102</v>
      </c>
      <c r="H70" s="110">
        <f t="shared" si="63"/>
        <v>10179</v>
      </c>
      <c r="I70" s="115">
        <f t="shared" si="61"/>
        <v>226.2</v>
      </c>
      <c r="J70" s="116">
        <f t="shared" si="64"/>
        <v>71.25</v>
      </c>
      <c r="K70" s="117">
        <f t="shared" si="65"/>
        <v>4.6</v>
      </c>
      <c r="L70" s="118">
        <v>60</v>
      </c>
      <c r="M70" s="118">
        <f>SUM(I70:L70)</f>
        <v>362.05</v>
      </c>
      <c r="N70" s="41">
        <f>I70</f>
        <v>226.2</v>
      </c>
      <c r="O70" s="117">
        <f>ROUND((E70-F70/0.7)*0.1*0.002,2)</f>
        <v>32.31</v>
      </c>
      <c r="P70" s="117">
        <f>ROUND((E70-F70/0.7)*0.2*0.002,2)</f>
        <v>64.63</v>
      </c>
      <c r="Q70" s="117">
        <f>N70-O70-P70</f>
        <v>129.26</v>
      </c>
    </row>
    <row r="71" s="4" customFormat="1" ht="18" customHeight="1" spans="1:17">
      <c r="A71" s="22">
        <v>441400</v>
      </c>
      <c r="B71" s="22" t="s">
        <v>99</v>
      </c>
      <c r="C71" s="107"/>
      <c r="D71" s="23" t="s">
        <v>100</v>
      </c>
      <c r="E71" s="108">
        <f t="shared" ref="E71:Q71" si="66">SUM(E72:E80)</f>
        <v>2468763</v>
      </c>
      <c r="F71" s="108">
        <f t="shared" si="66"/>
        <v>132217</v>
      </c>
      <c r="G71" s="108">
        <f t="shared" si="66"/>
        <v>1595917</v>
      </c>
      <c r="H71" s="108">
        <f t="shared" si="66"/>
        <v>143633</v>
      </c>
      <c r="I71" s="114">
        <f t="shared" si="66"/>
        <v>3191.84</v>
      </c>
      <c r="J71" s="107">
        <f t="shared" si="66"/>
        <v>1005.42</v>
      </c>
      <c r="K71" s="114">
        <f t="shared" si="66"/>
        <v>110.34</v>
      </c>
      <c r="L71" s="114">
        <f t="shared" si="66"/>
        <v>505</v>
      </c>
      <c r="M71" s="114">
        <f t="shared" si="66"/>
        <v>4812.6</v>
      </c>
      <c r="N71" s="114">
        <f t="shared" si="66"/>
        <v>3191.84</v>
      </c>
      <c r="O71" s="114">
        <f t="shared" si="66"/>
        <v>455.98</v>
      </c>
      <c r="P71" s="114">
        <f t="shared" si="66"/>
        <v>911.95</v>
      </c>
      <c r="Q71" s="114">
        <f t="shared" si="66"/>
        <v>1823.91</v>
      </c>
    </row>
    <row r="72" s="4" customFormat="1" ht="18" customHeight="1" spans="1:17">
      <c r="A72" s="22"/>
      <c r="B72" s="22"/>
      <c r="C72" s="120">
        <v>0.85</v>
      </c>
      <c r="D72" s="10" t="s">
        <v>58</v>
      </c>
      <c r="E72" s="108"/>
      <c r="F72" s="108"/>
      <c r="G72" s="108"/>
      <c r="H72" s="108"/>
      <c r="I72" s="115">
        <f>ROUND(G72*20/10000,2)</f>
        <v>0</v>
      </c>
      <c r="J72" s="107">
        <v>0</v>
      </c>
      <c r="K72" s="117">
        <f>ROUND(H72*0.4*10/10000,2)</f>
        <v>0</v>
      </c>
      <c r="L72" s="118">
        <v>25</v>
      </c>
      <c r="M72" s="118">
        <f>SUM(I72:L72)</f>
        <v>25</v>
      </c>
      <c r="N72" s="41">
        <f>I72</f>
        <v>0</v>
      </c>
      <c r="O72" s="117">
        <f>ROUND((E72-F72/0.7)*0.1*0.002,2)</f>
        <v>0</v>
      </c>
      <c r="P72" s="117">
        <f>ROUND((E72-F72/0.7)*0.2*0.002,2)</f>
        <v>0</v>
      </c>
      <c r="Q72" s="117">
        <f>N72-O72-P72</f>
        <v>0</v>
      </c>
    </row>
    <row r="73" s="4" customFormat="1" ht="18" customHeight="1" spans="1:17">
      <c r="A73" s="22"/>
      <c r="B73" s="22"/>
      <c r="C73" s="109" t="s">
        <v>161</v>
      </c>
      <c r="D73" s="45" t="s">
        <v>177</v>
      </c>
      <c r="E73" s="46">
        <v>290798</v>
      </c>
      <c r="F73" s="108"/>
      <c r="G73" s="110">
        <f t="shared" ref="G73:G80" si="67">ROUND(E73*0.7-F73,0)</f>
        <v>203559</v>
      </c>
      <c r="H73" s="110">
        <f t="shared" ref="H73:H80" si="68">ROUND(G73*0.09,0)</f>
        <v>18320</v>
      </c>
      <c r="I73" s="115">
        <f t="shared" ref="I73:I80" si="69">ROUND(G73*20/10000,2)</f>
        <v>407.12</v>
      </c>
      <c r="J73" s="116">
        <f t="shared" ref="J73:J80" si="70">ROUND(G73*0.5*0.6*21/10000,2)</f>
        <v>128.24</v>
      </c>
      <c r="K73" s="117">
        <f t="shared" ref="K73:K80" si="71">ROUND((H73+F73)*0.4*10/10000,2)</f>
        <v>7.33</v>
      </c>
      <c r="L73" s="118">
        <v>60</v>
      </c>
      <c r="M73" s="118">
        <f t="shared" ref="M73:M80" si="72">SUM(I73:L73)</f>
        <v>602.69</v>
      </c>
      <c r="N73" s="41">
        <f t="shared" ref="N73:N80" si="73">I73</f>
        <v>407.12</v>
      </c>
      <c r="O73" s="117">
        <f t="shared" ref="O73:O80" si="74">ROUND((E73-F73/0.7)*0.1*0.002,2)</f>
        <v>58.16</v>
      </c>
      <c r="P73" s="117">
        <f t="shared" ref="P73:P80" si="75">ROUND((E73-F73/0.7)*0.2*0.002,2)</f>
        <v>116.32</v>
      </c>
      <c r="Q73" s="117">
        <f t="shared" ref="Q73:Q80" si="76">N73-O73-P73</f>
        <v>232.64</v>
      </c>
    </row>
    <row r="74" s="4" customFormat="1" ht="18" customHeight="1" spans="1:17">
      <c r="A74" s="22"/>
      <c r="B74" s="22"/>
      <c r="C74" s="109" t="s">
        <v>161</v>
      </c>
      <c r="D74" s="45" t="s">
        <v>178</v>
      </c>
      <c r="E74" s="46">
        <v>370105</v>
      </c>
      <c r="F74" s="108"/>
      <c r="G74" s="110">
        <f t="shared" si="67"/>
        <v>259074</v>
      </c>
      <c r="H74" s="110">
        <f t="shared" si="68"/>
        <v>23317</v>
      </c>
      <c r="I74" s="115">
        <f t="shared" si="69"/>
        <v>518.15</v>
      </c>
      <c r="J74" s="116">
        <f t="shared" si="70"/>
        <v>163.22</v>
      </c>
      <c r="K74" s="117">
        <f t="shared" si="71"/>
        <v>9.33</v>
      </c>
      <c r="L74" s="118">
        <v>60</v>
      </c>
      <c r="M74" s="118">
        <f t="shared" si="72"/>
        <v>750.7</v>
      </c>
      <c r="N74" s="41">
        <f t="shared" si="73"/>
        <v>518.15</v>
      </c>
      <c r="O74" s="117">
        <f t="shared" si="74"/>
        <v>74.02</v>
      </c>
      <c r="P74" s="117">
        <f t="shared" si="75"/>
        <v>148.04</v>
      </c>
      <c r="Q74" s="117">
        <f t="shared" si="76"/>
        <v>296.09</v>
      </c>
    </row>
    <row r="75" s="1" customFormat="1" ht="18" customHeight="1" spans="1:17">
      <c r="A75" s="10">
        <v>441422</v>
      </c>
      <c r="B75" s="10" t="s">
        <v>99</v>
      </c>
      <c r="C75" s="120">
        <v>1</v>
      </c>
      <c r="D75" s="10" t="s">
        <v>101</v>
      </c>
      <c r="E75" s="46">
        <v>196859</v>
      </c>
      <c r="F75" s="46">
        <v>83282</v>
      </c>
      <c r="G75" s="110">
        <f t="shared" si="67"/>
        <v>54519</v>
      </c>
      <c r="H75" s="110">
        <f t="shared" si="68"/>
        <v>4907</v>
      </c>
      <c r="I75" s="115">
        <f t="shared" si="69"/>
        <v>109.04</v>
      </c>
      <c r="J75" s="116">
        <f t="shared" si="70"/>
        <v>34.35</v>
      </c>
      <c r="K75" s="117">
        <f t="shared" si="71"/>
        <v>35.28</v>
      </c>
      <c r="L75" s="118">
        <v>60</v>
      </c>
      <c r="M75" s="118">
        <f t="shared" si="72"/>
        <v>238.67</v>
      </c>
      <c r="N75" s="41">
        <f t="shared" si="73"/>
        <v>109.04</v>
      </c>
      <c r="O75" s="117">
        <f t="shared" si="74"/>
        <v>15.58</v>
      </c>
      <c r="P75" s="117">
        <f t="shared" si="75"/>
        <v>31.15</v>
      </c>
      <c r="Q75" s="117">
        <f t="shared" si="76"/>
        <v>62.31</v>
      </c>
    </row>
    <row r="76" s="1" customFormat="1" ht="18" customHeight="1" spans="1:17">
      <c r="A76" s="10">
        <v>441423</v>
      </c>
      <c r="B76" s="10" t="s">
        <v>99</v>
      </c>
      <c r="C76" s="120">
        <v>1</v>
      </c>
      <c r="D76" s="10" t="s">
        <v>102</v>
      </c>
      <c r="E76" s="46">
        <v>295089</v>
      </c>
      <c r="F76" s="46">
        <v>9868</v>
      </c>
      <c r="G76" s="110">
        <f t="shared" si="67"/>
        <v>196694</v>
      </c>
      <c r="H76" s="110">
        <f t="shared" si="68"/>
        <v>17702</v>
      </c>
      <c r="I76" s="115">
        <f t="shared" si="69"/>
        <v>393.39</v>
      </c>
      <c r="J76" s="116">
        <f t="shared" si="70"/>
        <v>123.92</v>
      </c>
      <c r="K76" s="117">
        <f t="shared" si="71"/>
        <v>11.03</v>
      </c>
      <c r="L76" s="118">
        <v>60</v>
      </c>
      <c r="M76" s="118">
        <f t="shared" si="72"/>
        <v>588.34</v>
      </c>
      <c r="N76" s="41">
        <f t="shared" si="73"/>
        <v>393.39</v>
      </c>
      <c r="O76" s="117">
        <f t="shared" si="74"/>
        <v>56.2</v>
      </c>
      <c r="P76" s="117">
        <f t="shared" si="75"/>
        <v>112.4</v>
      </c>
      <c r="Q76" s="117">
        <f t="shared" si="76"/>
        <v>224.79</v>
      </c>
    </row>
    <row r="77" s="1" customFormat="1" ht="18" customHeight="1" spans="1:17">
      <c r="A77" s="10">
        <v>441424</v>
      </c>
      <c r="B77" s="10" t="s">
        <v>99</v>
      </c>
      <c r="C77" s="120">
        <v>1</v>
      </c>
      <c r="D77" s="10" t="s">
        <v>103</v>
      </c>
      <c r="E77" s="46">
        <v>621220</v>
      </c>
      <c r="F77" s="46">
        <v>4403</v>
      </c>
      <c r="G77" s="110">
        <f t="shared" si="67"/>
        <v>430451</v>
      </c>
      <c r="H77" s="110">
        <f t="shared" si="68"/>
        <v>38741</v>
      </c>
      <c r="I77" s="115">
        <f t="shared" si="69"/>
        <v>860.9</v>
      </c>
      <c r="J77" s="116">
        <f t="shared" si="70"/>
        <v>271.18</v>
      </c>
      <c r="K77" s="117">
        <f t="shared" si="71"/>
        <v>17.26</v>
      </c>
      <c r="L77" s="118">
        <v>60</v>
      </c>
      <c r="M77" s="118">
        <f t="shared" si="72"/>
        <v>1209.34</v>
      </c>
      <c r="N77" s="41">
        <f t="shared" si="73"/>
        <v>860.9</v>
      </c>
      <c r="O77" s="117">
        <f t="shared" si="74"/>
        <v>122.99</v>
      </c>
      <c r="P77" s="117">
        <f t="shared" si="75"/>
        <v>245.97</v>
      </c>
      <c r="Q77" s="117">
        <f t="shared" si="76"/>
        <v>491.94</v>
      </c>
    </row>
    <row r="78" s="1" customFormat="1" ht="18" customHeight="1" spans="1:17">
      <c r="A78" s="10">
        <v>441426</v>
      </c>
      <c r="B78" s="10" t="s">
        <v>99</v>
      </c>
      <c r="C78" s="120">
        <v>1</v>
      </c>
      <c r="D78" s="10" t="s">
        <v>104</v>
      </c>
      <c r="E78" s="46">
        <v>95316</v>
      </c>
      <c r="F78" s="46">
        <v>4651</v>
      </c>
      <c r="G78" s="110">
        <f t="shared" si="67"/>
        <v>62070</v>
      </c>
      <c r="H78" s="110">
        <f t="shared" si="68"/>
        <v>5586</v>
      </c>
      <c r="I78" s="115">
        <f t="shared" si="69"/>
        <v>124.14</v>
      </c>
      <c r="J78" s="116">
        <f t="shared" si="70"/>
        <v>39.1</v>
      </c>
      <c r="K78" s="117">
        <f t="shared" si="71"/>
        <v>4.09</v>
      </c>
      <c r="L78" s="118">
        <v>60</v>
      </c>
      <c r="M78" s="118">
        <f t="shared" si="72"/>
        <v>227.33</v>
      </c>
      <c r="N78" s="41">
        <f t="shared" si="73"/>
        <v>124.14</v>
      </c>
      <c r="O78" s="117">
        <f t="shared" si="74"/>
        <v>17.73</v>
      </c>
      <c r="P78" s="117">
        <f t="shared" si="75"/>
        <v>35.47</v>
      </c>
      <c r="Q78" s="117">
        <f t="shared" si="76"/>
        <v>70.94</v>
      </c>
    </row>
    <row r="79" s="1" customFormat="1" ht="18" customHeight="1" spans="1:17">
      <c r="A79" s="10">
        <v>441427</v>
      </c>
      <c r="B79" s="10" t="s">
        <v>99</v>
      </c>
      <c r="C79" s="120">
        <v>1</v>
      </c>
      <c r="D79" s="10" t="s">
        <v>105</v>
      </c>
      <c r="E79" s="46">
        <v>114227</v>
      </c>
      <c r="F79" s="46">
        <v>6528</v>
      </c>
      <c r="G79" s="110">
        <f t="shared" si="67"/>
        <v>73431</v>
      </c>
      <c r="H79" s="110">
        <f t="shared" si="68"/>
        <v>6609</v>
      </c>
      <c r="I79" s="115">
        <f t="shared" si="69"/>
        <v>146.86</v>
      </c>
      <c r="J79" s="116">
        <f t="shared" si="70"/>
        <v>46.26</v>
      </c>
      <c r="K79" s="117">
        <f t="shared" si="71"/>
        <v>5.25</v>
      </c>
      <c r="L79" s="118">
        <v>60</v>
      </c>
      <c r="M79" s="118">
        <f t="shared" si="72"/>
        <v>258.37</v>
      </c>
      <c r="N79" s="41">
        <f t="shared" si="73"/>
        <v>146.86</v>
      </c>
      <c r="O79" s="117">
        <f t="shared" si="74"/>
        <v>20.98</v>
      </c>
      <c r="P79" s="117">
        <f t="shared" si="75"/>
        <v>41.96</v>
      </c>
      <c r="Q79" s="117">
        <f t="shared" si="76"/>
        <v>83.92</v>
      </c>
    </row>
    <row r="80" s="1" customFormat="1" ht="18" customHeight="1" spans="1:17">
      <c r="A80" s="10">
        <v>441481</v>
      </c>
      <c r="B80" s="10" t="s">
        <v>99</v>
      </c>
      <c r="C80" s="120">
        <v>1</v>
      </c>
      <c r="D80" s="10" t="s">
        <v>106</v>
      </c>
      <c r="E80" s="46">
        <v>485149</v>
      </c>
      <c r="F80" s="46">
        <v>23485</v>
      </c>
      <c r="G80" s="110">
        <f t="shared" si="67"/>
        <v>316119</v>
      </c>
      <c r="H80" s="110">
        <f t="shared" si="68"/>
        <v>28451</v>
      </c>
      <c r="I80" s="115">
        <f t="shared" si="69"/>
        <v>632.24</v>
      </c>
      <c r="J80" s="116">
        <f t="shared" si="70"/>
        <v>199.15</v>
      </c>
      <c r="K80" s="117">
        <f t="shared" si="71"/>
        <v>20.77</v>
      </c>
      <c r="L80" s="118">
        <v>60</v>
      </c>
      <c r="M80" s="118">
        <f t="shared" si="72"/>
        <v>912.16</v>
      </c>
      <c r="N80" s="41">
        <f t="shared" si="73"/>
        <v>632.24</v>
      </c>
      <c r="O80" s="117">
        <f t="shared" si="74"/>
        <v>90.32</v>
      </c>
      <c r="P80" s="117">
        <f t="shared" si="75"/>
        <v>180.64</v>
      </c>
      <c r="Q80" s="117">
        <f t="shared" si="76"/>
        <v>361.28</v>
      </c>
    </row>
    <row r="81" s="4" customFormat="1" ht="18" customHeight="1" spans="1:17">
      <c r="A81" s="22">
        <v>441500</v>
      </c>
      <c r="B81" s="22" t="s">
        <v>107</v>
      </c>
      <c r="C81" s="107"/>
      <c r="D81" s="23" t="s">
        <v>108</v>
      </c>
      <c r="E81" s="108">
        <f t="shared" ref="E81:Q81" si="77">SUM(E82:E86)</f>
        <v>1601649</v>
      </c>
      <c r="F81" s="108">
        <f t="shared" si="77"/>
        <v>14324</v>
      </c>
      <c r="G81" s="108">
        <f t="shared" si="77"/>
        <v>1106830</v>
      </c>
      <c r="H81" s="108">
        <f t="shared" si="77"/>
        <v>99615</v>
      </c>
      <c r="I81" s="114">
        <f t="shared" si="77"/>
        <v>2213.66</v>
      </c>
      <c r="J81" s="107">
        <f t="shared" si="77"/>
        <v>697.3</v>
      </c>
      <c r="K81" s="114">
        <f t="shared" si="77"/>
        <v>45.57</v>
      </c>
      <c r="L81" s="114">
        <f t="shared" si="77"/>
        <v>265</v>
      </c>
      <c r="M81" s="114">
        <f t="shared" si="77"/>
        <v>3221.53</v>
      </c>
      <c r="N81" s="114">
        <f t="shared" si="77"/>
        <v>2213.66</v>
      </c>
      <c r="O81" s="114">
        <f t="shared" si="77"/>
        <v>316.23</v>
      </c>
      <c r="P81" s="114">
        <f t="shared" si="77"/>
        <v>632.48</v>
      </c>
      <c r="Q81" s="114">
        <f t="shared" si="77"/>
        <v>1264.95</v>
      </c>
    </row>
    <row r="82" s="4" customFormat="1" ht="18" customHeight="1" spans="1:17">
      <c r="A82" s="22"/>
      <c r="B82" s="22"/>
      <c r="C82" s="120">
        <v>0.85</v>
      </c>
      <c r="D82" s="10" t="s">
        <v>58</v>
      </c>
      <c r="E82" s="108"/>
      <c r="F82" s="108"/>
      <c r="G82" s="108"/>
      <c r="H82" s="108"/>
      <c r="I82" s="115">
        <f>ROUND(G82*20/10000,2)</f>
        <v>0</v>
      </c>
      <c r="J82" s="107">
        <v>0</v>
      </c>
      <c r="K82" s="117">
        <f>ROUND(H82*0.4*10/10000,2)</f>
        <v>0</v>
      </c>
      <c r="L82" s="118">
        <v>25</v>
      </c>
      <c r="M82" s="118">
        <f>SUM(I82:L82)</f>
        <v>25</v>
      </c>
      <c r="N82" s="41">
        <f>I82</f>
        <v>0</v>
      </c>
      <c r="O82" s="117">
        <f>ROUND((E82-F82/0.7)*0.1*0.002,2)</f>
        <v>0</v>
      </c>
      <c r="P82" s="117">
        <f>ROUND((E82-F82/0.7)*0.2*0.002,2)</f>
        <v>0</v>
      </c>
      <c r="Q82" s="117">
        <f>N82-O82-P82</f>
        <v>0</v>
      </c>
    </row>
    <row r="83" s="4" customFormat="1" ht="18" customHeight="1" spans="1:17">
      <c r="A83" s="22"/>
      <c r="B83" s="22"/>
      <c r="C83" s="109" t="s">
        <v>161</v>
      </c>
      <c r="D83" s="45" t="s">
        <v>179</v>
      </c>
      <c r="E83" s="46">
        <v>300172</v>
      </c>
      <c r="F83" s="108"/>
      <c r="G83" s="110">
        <f>ROUND(E83*0.7-F83,0)</f>
        <v>210120</v>
      </c>
      <c r="H83" s="110">
        <f>ROUND(G83*0.09,0)</f>
        <v>18911</v>
      </c>
      <c r="I83" s="115">
        <f>ROUND(G83*20/10000,2)</f>
        <v>420.24</v>
      </c>
      <c r="J83" s="116">
        <f>ROUND(G83*0.5*0.6*21/10000,2)</f>
        <v>132.38</v>
      </c>
      <c r="K83" s="117">
        <f>ROUND((H83+F83)*0.4*10/10000,2)</f>
        <v>7.56</v>
      </c>
      <c r="L83" s="118">
        <v>60</v>
      </c>
      <c r="M83" s="118">
        <f>SUM(I83:L83)</f>
        <v>620.18</v>
      </c>
      <c r="N83" s="41">
        <f>I83</f>
        <v>420.24</v>
      </c>
      <c r="O83" s="117">
        <f>ROUND((E83-F83/0.7)*0.1*0.002,2)</f>
        <v>60.03</v>
      </c>
      <c r="P83" s="117">
        <f>ROUND((E83-F83/0.7)*0.2*0.002,2)</f>
        <v>120.07</v>
      </c>
      <c r="Q83" s="117">
        <f>N83-O83-P83</f>
        <v>240.14</v>
      </c>
    </row>
    <row r="84" s="1" customFormat="1" ht="18" customHeight="1" spans="1:17">
      <c r="A84" s="10">
        <v>441521</v>
      </c>
      <c r="B84" s="10" t="s">
        <v>107</v>
      </c>
      <c r="C84" s="120">
        <v>1</v>
      </c>
      <c r="D84" s="10" t="s">
        <v>109</v>
      </c>
      <c r="E84" s="46">
        <v>478182</v>
      </c>
      <c r="F84" s="46">
        <v>8214</v>
      </c>
      <c r="G84" s="110">
        <f>ROUND(E84*0.7-F84,0)</f>
        <v>326513</v>
      </c>
      <c r="H84" s="110">
        <f>ROUND(G84*0.09,0)</f>
        <v>29386</v>
      </c>
      <c r="I84" s="115">
        <f>ROUND(G84*20/10000,2)</f>
        <v>653.03</v>
      </c>
      <c r="J84" s="116">
        <f>ROUND(G84*0.5*0.6*21/10000,2)</f>
        <v>205.7</v>
      </c>
      <c r="K84" s="117">
        <f>ROUND((H84+F84)*0.4*10/10000,2)</f>
        <v>15.04</v>
      </c>
      <c r="L84" s="118">
        <v>60</v>
      </c>
      <c r="M84" s="118">
        <f>SUM(I84:L84)</f>
        <v>933.77</v>
      </c>
      <c r="N84" s="41">
        <f>I84</f>
        <v>653.03</v>
      </c>
      <c r="O84" s="117">
        <f>ROUND((E84-F84/0.7)*0.1*0.002,2)</f>
        <v>93.29</v>
      </c>
      <c r="P84" s="117">
        <f>ROUND((E84-F84/0.7)*0.2*0.002,2)</f>
        <v>186.58</v>
      </c>
      <c r="Q84" s="117">
        <f>N84-O84-P84</f>
        <v>373.16</v>
      </c>
    </row>
    <row r="85" s="1" customFormat="1" ht="18" customHeight="1" spans="1:17">
      <c r="A85" s="10">
        <v>441523</v>
      </c>
      <c r="B85" s="10" t="s">
        <v>107</v>
      </c>
      <c r="C85" s="120">
        <v>1</v>
      </c>
      <c r="D85" s="10" t="s">
        <v>110</v>
      </c>
      <c r="E85" s="46">
        <v>100597</v>
      </c>
      <c r="F85" s="46">
        <v>368</v>
      </c>
      <c r="G85" s="110">
        <f>ROUND(E85*0.7-F85,0)</f>
        <v>70050</v>
      </c>
      <c r="H85" s="110">
        <f>ROUND(G85*0.09,0)</f>
        <v>6305</v>
      </c>
      <c r="I85" s="115">
        <f>ROUND(G85*20/10000,2)</f>
        <v>140.1</v>
      </c>
      <c r="J85" s="116">
        <f>ROUND(G85*0.5*0.6*21/10000,2)</f>
        <v>44.13</v>
      </c>
      <c r="K85" s="117">
        <f>ROUND((H85+F85)*0.4*10/10000,2)</f>
        <v>2.67</v>
      </c>
      <c r="L85" s="118">
        <v>60</v>
      </c>
      <c r="M85" s="118">
        <f>SUM(I85:L85)</f>
        <v>246.9</v>
      </c>
      <c r="N85" s="41">
        <f>I85</f>
        <v>140.1</v>
      </c>
      <c r="O85" s="117">
        <f>ROUND((E85-F85/0.7)*0.1*0.002,2)</f>
        <v>20.01</v>
      </c>
      <c r="P85" s="117">
        <f>ROUND((E85-F85/0.7)*0.2*0.002,2)</f>
        <v>40.03</v>
      </c>
      <c r="Q85" s="117">
        <f>N85-O85-P85</f>
        <v>80.06</v>
      </c>
    </row>
    <row r="86" s="1" customFormat="1" ht="18" customHeight="1" spans="1:17">
      <c r="A86" s="10">
        <v>441581</v>
      </c>
      <c r="B86" s="10" t="s">
        <v>107</v>
      </c>
      <c r="C86" s="120">
        <v>1</v>
      </c>
      <c r="D86" s="10" t="s">
        <v>111</v>
      </c>
      <c r="E86" s="46">
        <v>722698</v>
      </c>
      <c r="F86" s="46">
        <v>5742</v>
      </c>
      <c r="G86" s="110">
        <f>ROUND(E86*0.7-F86,0)</f>
        <v>500147</v>
      </c>
      <c r="H86" s="110">
        <f>ROUND(G86*0.09,0)</f>
        <v>45013</v>
      </c>
      <c r="I86" s="115">
        <f>ROUND(G86*20/10000,2)</f>
        <v>1000.29</v>
      </c>
      <c r="J86" s="116">
        <f>ROUND(G86*0.5*0.6*21/10000,2)</f>
        <v>315.09</v>
      </c>
      <c r="K86" s="117">
        <f>ROUND((H86+F86)*0.4*10/10000,2)</f>
        <v>20.3</v>
      </c>
      <c r="L86" s="118">
        <v>60</v>
      </c>
      <c r="M86" s="118">
        <f>SUM(I86:L86)</f>
        <v>1395.68</v>
      </c>
      <c r="N86" s="41">
        <f>I86</f>
        <v>1000.29</v>
      </c>
      <c r="O86" s="117">
        <f>ROUND((E86-F86/0.7)*0.1*0.002,2)</f>
        <v>142.9</v>
      </c>
      <c r="P86" s="117">
        <f>ROUND((E86-F86/0.7)*0.2*0.002,2)</f>
        <v>285.8</v>
      </c>
      <c r="Q86" s="117">
        <f>N86-O86-P86</f>
        <v>571.59</v>
      </c>
    </row>
    <row r="87" s="4" customFormat="1" ht="18" customHeight="1" spans="1:17">
      <c r="A87" s="22">
        <v>441600</v>
      </c>
      <c r="B87" s="22" t="s">
        <v>112</v>
      </c>
      <c r="C87" s="107"/>
      <c r="D87" s="23" t="s">
        <v>113</v>
      </c>
      <c r="E87" s="108">
        <f t="shared" ref="E87:Q87" si="78">SUM(E88:E94)</f>
        <v>1735095</v>
      </c>
      <c r="F87" s="108">
        <f t="shared" si="78"/>
        <v>54887</v>
      </c>
      <c r="G87" s="108">
        <f t="shared" si="78"/>
        <v>1159678</v>
      </c>
      <c r="H87" s="108">
        <f t="shared" si="78"/>
        <v>104371</v>
      </c>
      <c r="I87" s="114">
        <f t="shared" si="78"/>
        <v>2319.35</v>
      </c>
      <c r="J87" s="107">
        <f t="shared" si="78"/>
        <v>730.61</v>
      </c>
      <c r="K87" s="114">
        <f t="shared" si="78"/>
        <v>63.72</v>
      </c>
      <c r="L87" s="114">
        <f t="shared" si="78"/>
        <v>385</v>
      </c>
      <c r="M87" s="114">
        <f t="shared" si="78"/>
        <v>3498.68</v>
      </c>
      <c r="N87" s="114">
        <f t="shared" si="78"/>
        <v>2319.35</v>
      </c>
      <c r="O87" s="114">
        <f t="shared" si="78"/>
        <v>331.34</v>
      </c>
      <c r="P87" s="114">
        <f t="shared" si="78"/>
        <v>662.68</v>
      </c>
      <c r="Q87" s="114">
        <f t="shared" si="78"/>
        <v>1325.33</v>
      </c>
    </row>
    <row r="88" s="4" customFormat="1" ht="18" customHeight="1" spans="1:17">
      <c r="A88" s="22"/>
      <c r="B88" s="22"/>
      <c r="C88" s="120">
        <v>0.85</v>
      </c>
      <c r="D88" s="10" t="s">
        <v>58</v>
      </c>
      <c r="E88" s="108"/>
      <c r="F88" s="108"/>
      <c r="G88" s="108"/>
      <c r="H88" s="108"/>
      <c r="I88" s="115">
        <f>ROUND(G88*20/10000,2)</f>
        <v>0</v>
      </c>
      <c r="J88" s="107">
        <v>0</v>
      </c>
      <c r="K88" s="117">
        <f>ROUND(H88*0.4*10/10000,2)</f>
        <v>0</v>
      </c>
      <c r="L88" s="118">
        <v>25</v>
      </c>
      <c r="M88" s="118">
        <f>SUM(I88:L88)</f>
        <v>25</v>
      </c>
      <c r="N88" s="41">
        <f>I88</f>
        <v>0</v>
      </c>
      <c r="O88" s="117">
        <f>ROUND((E88-F88/0.7)*0.1*0.002,2)</f>
        <v>0</v>
      </c>
      <c r="P88" s="117">
        <f>ROUND((E88-F88/0.7)*0.2*0.002,2)</f>
        <v>0</v>
      </c>
      <c r="Q88" s="117">
        <f>N88-O88-P88</f>
        <v>0</v>
      </c>
    </row>
    <row r="89" s="4" customFormat="1" ht="18" customHeight="1" spans="1:17">
      <c r="A89" s="22"/>
      <c r="B89" s="22"/>
      <c r="C89" s="109" t="s">
        <v>161</v>
      </c>
      <c r="D89" s="45" t="s">
        <v>180</v>
      </c>
      <c r="E89" s="46">
        <v>468130</v>
      </c>
      <c r="F89" s="108"/>
      <c r="G89" s="110">
        <f t="shared" ref="G89:G94" si="79">ROUND(E89*0.7-F89,0)</f>
        <v>327691</v>
      </c>
      <c r="H89" s="110">
        <f t="shared" ref="H89:H94" si="80">ROUND(G89*0.09,0)</f>
        <v>29492</v>
      </c>
      <c r="I89" s="115">
        <f t="shared" ref="I89:I94" si="81">ROUND(G89*20/10000,2)</f>
        <v>655.38</v>
      </c>
      <c r="J89" s="116">
        <f t="shared" ref="J89:J94" si="82">ROUND(G89*0.5*0.6*21/10000,2)</f>
        <v>206.45</v>
      </c>
      <c r="K89" s="117">
        <f t="shared" ref="K89:K94" si="83">ROUND((H89+F89)*0.4*10/10000,2)</f>
        <v>11.8</v>
      </c>
      <c r="L89" s="118">
        <v>60</v>
      </c>
      <c r="M89" s="118">
        <f t="shared" ref="M89:M94" si="84">SUM(I89:L89)</f>
        <v>933.63</v>
      </c>
      <c r="N89" s="41">
        <f t="shared" ref="N89:N94" si="85">I89</f>
        <v>655.38</v>
      </c>
      <c r="O89" s="117">
        <f t="shared" ref="O89:O94" si="86">ROUND((E89-F89/0.7)*0.1*0.002,2)</f>
        <v>93.63</v>
      </c>
      <c r="P89" s="117">
        <f t="shared" ref="P89:P94" si="87">ROUND((E89-F89/0.7)*0.2*0.002,2)</f>
        <v>187.25</v>
      </c>
      <c r="Q89" s="117">
        <f t="shared" ref="Q89:Q94" si="88">N89-O89-P89</f>
        <v>374.5</v>
      </c>
    </row>
    <row r="90" s="1" customFormat="1" ht="18" customHeight="1" spans="1:17">
      <c r="A90" s="10">
        <v>441621</v>
      </c>
      <c r="B90" s="10" t="s">
        <v>112</v>
      </c>
      <c r="C90" s="120">
        <v>1</v>
      </c>
      <c r="D90" s="10" t="s">
        <v>114</v>
      </c>
      <c r="E90" s="46">
        <v>318346</v>
      </c>
      <c r="F90" s="46">
        <v>17222</v>
      </c>
      <c r="G90" s="110">
        <f t="shared" si="79"/>
        <v>205620</v>
      </c>
      <c r="H90" s="110">
        <f t="shared" si="80"/>
        <v>18506</v>
      </c>
      <c r="I90" s="115">
        <f t="shared" si="81"/>
        <v>411.24</v>
      </c>
      <c r="J90" s="116">
        <f t="shared" si="82"/>
        <v>129.54</v>
      </c>
      <c r="K90" s="117">
        <f t="shared" si="83"/>
        <v>14.29</v>
      </c>
      <c r="L90" s="118">
        <v>60</v>
      </c>
      <c r="M90" s="118">
        <f t="shared" si="84"/>
        <v>615.07</v>
      </c>
      <c r="N90" s="41">
        <f t="shared" si="85"/>
        <v>411.24</v>
      </c>
      <c r="O90" s="117">
        <f t="shared" si="86"/>
        <v>58.75</v>
      </c>
      <c r="P90" s="117">
        <f t="shared" si="87"/>
        <v>117.5</v>
      </c>
      <c r="Q90" s="117">
        <f t="shared" si="88"/>
        <v>234.99</v>
      </c>
    </row>
    <row r="91" s="1" customFormat="1" ht="18" customHeight="1" spans="1:17">
      <c r="A91" s="10">
        <v>441622</v>
      </c>
      <c r="B91" s="10" t="s">
        <v>112</v>
      </c>
      <c r="C91" s="120">
        <v>1</v>
      </c>
      <c r="D91" s="10" t="s">
        <v>115</v>
      </c>
      <c r="E91" s="46">
        <v>349329</v>
      </c>
      <c r="F91" s="46">
        <v>22814</v>
      </c>
      <c r="G91" s="110">
        <f t="shared" si="79"/>
        <v>221716</v>
      </c>
      <c r="H91" s="110">
        <f t="shared" si="80"/>
        <v>19954</v>
      </c>
      <c r="I91" s="115">
        <f t="shared" si="81"/>
        <v>443.43</v>
      </c>
      <c r="J91" s="116">
        <f t="shared" si="82"/>
        <v>139.68</v>
      </c>
      <c r="K91" s="117">
        <f t="shared" si="83"/>
        <v>17.11</v>
      </c>
      <c r="L91" s="118">
        <v>60</v>
      </c>
      <c r="M91" s="118">
        <f t="shared" si="84"/>
        <v>660.22</v>
      </c>
      <c r="N91" s="41">
        <f t="shared" si="85"/>
        <v>443.43</v>
      </c>
      <c r="O91" s="117">
        <f t="shared" si="86"/>
        <v>63.35</v>
      </c>
      <c r="P91" s="117">
        <f t="shared" si="87"/>
        <v>126.7</v>
      </c>
      <c r="Q91" s="117">
        <f t="shared" si="88"/>
        <v>253.38</v>
      </c>
    </row>
    <row r="92" s="1" customFormat="1" ht="18" customHeight="1" spans="1:17">
      <c r="A92" s="10">
        <v>441623</v>
      </c>
      <c r="B92" s="10" t="s">
        <v>112</v>
      </c>
      <c r="C92" s="120">
        <v>1</v>
      </c>
      <c r="D92" s="10" t="s">
        <v>116</v>
      </c>
      <c r="E92" s="46">
        <v>176812</v>
      </c>
      <c r="F92" s="46">
        <v>6236</v>
      </c>
      <c r="G92" s="110">
        <f t="shared" si="79"/>
        <v>117532</v>
      </c>
      <c r="H92" s="110">
        <f t="shared" si="80"/>
        <v>10578</v>
      </c>
      <c r="I92" s="115">
        <f t="shared" si="81"/>
        <v>235.06</v>
      </c>
      <c r="J92" s="116">
        <f t="shared" si="82"/>
        <v>74.05</v>
      </c>
      <c r="K92" s="117">
        <f t="shared" si="83"/>
        <v>6.73</v>
      </c>
      <c r="L92" s="118">
        <v>60</v>
      </c>
      <c r="M92" s="118">
        <f t="shared" si="84"/>
        <v>375.84</v>
      </c>
      <c r="N92" s="41">
        <f t="shared" si="85"/>
        <v>235.06</v>
      </c>
      <c r="O92" s="117">
        <f t="shared" si="86"/>
        <v>33.58</v>
      </c>
      <c r="P92" s="117">
        <f t="shared" si="87"/>
        <v>67.16</v>
      </c>
      <c r="Q92" s="117">
        <f t="shared" si="88"/>
        <v>134.32</v>
      </c>
    </row>
    <row r="93" s="1" customFormat="1" ht="18" customHeight="1" spans="1:17">
      <c r="A93" s="10">
        <v>441624</v>
      </c>
      <c r="B93" s="10" t="s">
        <v>112</v>
      </c>
      <c r="C93" s="120">
        <v>1</v>
      </c>
      <c r="D93" s="10" t="s">
        <v>117</v>
      </c>
      <c r="E93" s="46">
        <v>207762</v>
      </c>
      <c r="F93" s="46">
        <v>2169</v>
      </c>
      <c r="G93" s="110">
        <f t="shared" si="79"/>
        <v>143264</v>
      </c>
      <c r="H93" s="110">
        <f t="shared" si="80"/>
        <v>12894</v>
      </c>
      <c r="I93" s="115">
        <f t="shared" si="81"/>
        <v>286.53</v>
      </c>
      <c r="J93" s="116">
        <f t="shared" si="82"/>
        <v>90.26</v>
      </c>
      <c r="K93" s="117">
        <f t="shared" si="83"/>
        <v>6.03</v>
      </c>
      <c r="L93" s="118">
        <v>60</v>
      </c>
      <c r="M93" s="118">
        <f t="shared" si="84"/>
        <v>442.82</v>
      </c>
      <c r="N93" s="41">
        <f t="shared" si="85"/>
        <v>286.53</v>
      </c>
      <c r="O93" s="117">
        <f t="shared" si="86"/>
        <v>40.93</v>
      </c>
      <c r="P93" s="117">
        <f t="shared" si="87"/>
        <v>81.87</v>
      </c>
      <c r="Q93" s="117">
        <f t="shared" si="88"/>
        <v>163.73</v>
      </c>
    </row>
    <row r="94" s="1" customFormat="1" ht="18" customHeight="1" spans="1:17">
      <c r="A94" s="10">
        <v>441625</v>
      </c>
      <c r="B94" s="10" t="s">
        <v>112</v>
      </c>
      <c r="C94" s="120">
        <v>0.85</v>
      </c>
      <c r="D94" s="10" t="s">
        <v>118</v>
      </c>
      <c r="E94" s="46">
        <v>214716</v>
      </c>
      <c r="F94" s="46">
        <v>6446</v>
      </c>
      <c r="G94" s="110">
        <f t="shared" si="79"/>
        <v>143855</v>
      </c>
      <c r="H94" s="110">
        <f t="shared" si="80"/>
        <v>12947</v>
      </c>
      <c r="I94" s="115">
        <f t="shared" si="81"/>
        <v>287.71</v>
      </c>
      <c r="J94" s="116">
        <f t="shared" si="82"/>
        <v>90.63</v>
      </c>
      <c r="K94" s="117">
        <f t="shared" si="83"/>
        <v>7.76</v>
      </c>
      <c r="L94" s="118">
        <v>60</v>
      </c>
      <c r="M94" s="118">
        <f t="shared" si="84"/>
        <v>446.1</v>
      </c>
      <c r="N94" s="41">
        <f t="shared" si="85"/>
        <v>287.71</v>
      </c>
      <c r="O94" s="117">
        <f t="shared" si="86"/>
        <v>41.1</v>
      </c>
      <c r="P94" s="117">
        <f t="shared" si="87"/>
        <v>82.2</v>
      </c>
      <c r="Q94" s="117">
        <f t="shared" si="88"/>
        <v>164.41</v>
      </c>
    </row>
    <row r="95" s="4" customFormat="1" ht="18" customHeight="1" spans="1:17">
      <c r="A95" s="22">
        <v>441700</v>
      </c>
      <c r="B95" s="22" t="s">
        <v>119</v>
      </c>
      <c r="C95" s="107"/>
      <c r="D95" s="23" t="s">
        <v>120</v>
      </c>
      <c r="E95" s="108">
        <f t="shared" ref="E95:Q95" si="89">SUM(E96:E100)</f>
        <v>1732946</v>
      </c>
      <c r="F95" s="108">
        <f t="shared" si="89"/>
        <v>44882</v>
      </c>
      <c r="G95" s="108">
        <f t="shared" si="89"/>
        <v>1168181</v>
      </c>
      <c r="H95" s="108">
        <f t="shared" si="89"/>
        <v>105136</v>
      </c>
      <c r="I95" s="114">
        <f t="shared" si="89"/>
        <v>2336.36</v>
      </c>
      <c r="J95" s="107">
        <f t="shared" si="89"/>
        <v>735.96</v>
      </c>
      <c r="K95" s="114">
        <f t="shared" si="89"/>
        <v>60.01</v>
      </c>
      <c r="L95" s="114">
        <f t="shared" si="89"/>
        <v>265</v>
      </c>
      <c r="M95" s="114">
        <f t="shared" si="89"/>
        <v>3397.33</v>
      </c>
      <c r="N95" s="114">
        <f t="shared" si="89"/>
        <v>2336.36</v>
      </c>
      <c r="O95" s="114">
        <f t="shared" si="89"/>
        <v>333.76</v>
      </c>
      <c r="P95" s="114">
        <f t="shared" si="89"/>
        <v>667.53</v>
      </c>
      <c r="Q95" s="114">
        <f t="shared" si="89"/>
        <v>1335.07</v>
      </c>
    </row>
    <row r="96" s="4" customFormat="1" ht="18" customHeight="1" spans="1:17">
      <c r="A96" s="22"/>
      <c r="B96" s="22"/>
      <c r="C96" s="120">
        <v>0.85</v>
      </c>
      <c r="D96" s="10" t="s">
        <v>58</v>
      </c>
      <c r="E96" s="108"/>
      <c r="F96" s="108"/>
      <c r="G96" s="108"/>
      <c r="H96" s="108"/>
      <c r="I96" s="115">
        <f>ROUND(G96*20/10000,2)</f>
        <v>0</v>
      </c>
      <c r="J96" s="107">
        <v>0</v>
      </c>
      <c r="K96" s="117">
        <f>ROUND(H96*0.4*10/10000,2)</f>
        <v>0</v>
      </c>
      <c r="L96" s="118">
        <v>25</v>
      </c>
      <c r="M96" s="118">
        <f>SUM(I96:L96)</f>
        <v>25</v>
      </c>
      <c r="N96" s="41">
        <f>I96</f>
        <v>0</v>
      </c>
      <c r="O96" s="117">
        <f>ROUND((E96-F96/0.7)*0.1*0.002,2)</f>
        <v>0</v>
      </c>
      <c r="P96" s="117">
        <f>ROUND((E96-F96/0.7)*0.2*0.002,2)</f>
        <v>0</v>
      </c>
      <c r="Q96" s="117">
        <f>N96-O96-P96</f>
        <v>0</v>
      </c>
    </row>
    <row r="97" s="4" customFormat="1" ht="18" customHeight="1" spans="1:17">
      <c r="A97" s="22"/>
      <c r="B97" s="22"/>
      <c r="C97" s="109" t="s">
        <v>161</v>
      </c>
      <c r="D97" s="45" t="s">
        <v>181</v>
      </c>
      <c r="E97" s="46">
        <v>553451</v>
      </c>
      <c r="F97" s="108"/>
      <c r="G97" s="110">
        <f>ROUND(E97*0.7-F97,0)</f>
        <v>387416</v>
      </c>
      <c r="H97" s="110">
        <f>ROUND(G97*0.09,0)</f>
        <v>34867</v>
      </c>
      <c r="I97" s="115">
        <f>ROUND(G97*20/10000,2)</f>
        <v>774.83</v>
      </c>
      <c r="J97" s="116">
        <f>ROUND(G97*0.5*0.6*21/10000,2)</f>
        <v>244.07</v>
      </c>
      <c r="K97" s="117">
        <f>ROUND((H97+F97)*0.4*10/10000,2)</f>
        <v>13.95</v>
      </c>
      <c r="L97" s="118">
        <v>60</v>
      </c>
      <c r="M97" s="118">
        <f>SUM(I97:L97)</f>
        <v>1092.85</v>
      </c>
      <c r="N97" s="41">
        <f>I97</f>
        <v>774.83</v>
      </c>
      <c r="O97" s="117">
        <f>ROUND((E97-F97/0.7)*0.1*0.002,2)</f>
        <v>110.69</v>
      </c>
      <c r="P97" s="117">
        <f>ROUND((E97-F97/0.7)*0.2*0.002,2)</f>
        <v>221.38</v>
      </c>
      <c r="Q97" s="117">
        <f>N97-O97-P97</f>
        <v>442.76</v>
      </c>
    </row>
    <row r="98" s="4" customFormat="1" ht="18" customHeight="1" spans="1:17">
      <c r="A98" s="22"/>
      <c r="B98" s="22"/>
      <c r="C98" s="109" t="s">
        <v>161</v>
      </c>
      <c r="D98" s="45" t="s">
        <v>182</v>
      </c>
      <c r="E98" s="46">
        <v>320108</v>
      </c>
      <c r="F98" s="108"/>
      <c r="G98" s="110">
        <f>ROUND(E98*0.7-F98,0)</f>
        <v>224076</v>
      </c>
      <c r="H98" s="110">
        <f>ROUND(G98*0.09,0)</f>
        <v>20167</v>
      </c>
      <c r="I98" s="115">
        <f>ROUND(G98*20/10000,2)</f>
        <v>448.15</v>
      </c>
      <c r="J98" s="116">
        <f>ROUND(G98*0.5*0.6*21/10000,2)</f>
        <v>141.17</v>
      </c>
      <c r="K98" s="117">
        <f>ROUND((H98+F98)*0.4*10/10000,2)</f>
        <v>8.07</v>
      </c>
      <c r="L98" s="118">
        <v>60</v>
      </c>
      <c r="M98" s="118">
        <f>SUM(I98:L98)</f>
        <v>657.39</v>
      </c>
      <c r="N98" s="41">
        <f>I98</f>
        <v>448.15</v>
      </c>
      <c r="O98" s="117">
        <f>ROUND((E98-F98/0.7)*0.1*0.002,2)</f>
        <v>64.02</v>
      </c>
      <c r="P98" s="117">
        <f>ROUND((E98-F98/0.7)*0.2*0.002,2)</f>
        <v>128.04</v>
      </c>
      <c r="Q98" s="117">
        <f>N98-O98-P98</f>
        <v>256.09</v>
      </c>
    </row>
    <row r="99" s="1" customFormat="1" ht="18" customHeight="1" spans="1:17">
      <c r="A99" s="10">
        <v>441721</v>
      </c>
      <c r="B99" s="10" t="s">
        <v>119</v>
      </c>
      <c r="C99" s="120">
        <v>0.85</v>
      </c>
      <c r="D99" s="10" t="s">
        <v>121</v>
      </c>
      <c r="E99" s="46">
        <v>298294</v>
      </c>
      <c r="F99" s="46">
        <v>10447</v>
      </c>
      <c r="G99" s="110">
        <f>ROUND(E99*0.7-F99,0)</f>
        <v>198359</v>
      </c>
      <c r="H99" s="110">
        <f>ROUND(G99*0.09,0)</f>
        <v>17852</v>
      </c>
      <c r="I99" s="115">
        <f>ROUND(G99*20/10000,2)</f>
        <v>396.72</v>
      </c>
      <c r="J99" s="116">
        <f>ROUND(G99*0.5*0.6*21/10000,2)</f>
        <v>124.97</v>
      </c>
      <c r="K99" s="117">
        <f>ROUND((H99+F99)*0.4*10/10000,2)</f>
        <v>11.32</v>
      </c>
      <c r="L99" s="118">
        <v>60</v>
      </c>
      <c r="M99" s="118">
        <f>SUM(I99:L99)</f>
        <v>593.01</v>
      </c>
      <c r="N99" s="41">
        <f>I99</f>
        <v>396.72</v>
      </c>
      <c r="O99" s="117">
        <f>ROUND((E99-F99/0.7)*0.1*0.002,2)</f>
        <v>56.67</v>
      </c>
      <c r="P99" s="117">
        <f>ROUND((E99-F99/0.7)*0.2*0.002,2)</f>
        <v>113.35</v>
      </c>
      <c r="Q99" s="117">
        <f>N99-O99-P99</f>
        <v>226.7</v>
      </c>
    </row>
    <row r="100" s="1" customFormat="1" ht="18" customHeight="1" spans="1:17">
      <c r="A100" s="10">
        <v>441781</v>
      </c>
      <c r="B100" s="10" t="s">
        <v>119</v>
      </c>
      <c r="C100" s="120">
        <v>0.85</v>
      </c>
      <c r="D100" s="10" t="s">
        <v>122</v>
      </c>
      <c r="E100" s="46">
        <v>561093</v>
      </c>
      <c r="F100" s="46">
        <v>34435</v>
      </c>
      <c r="G100" s="110">
        <f>ROUND(E100*0.7-F100,0)</f>
        <v>358330</v>
      </c>
      <c r="H100" s="110">
        <f>ROUND(G100*0.09,0)</f>
        <v>32250</v>
      </c>
      <c r="I100" s="115">
        <f>ROUND(G100*20/10000,2)</f>
        <v>716.66</v>
      </c>
      <c r="J100" s="116">
        <f>ROUND(G100*0.5*0.6*21/10000,2)</f>
        <v>225.75</v>
      </c>
      <c r="K100" s="117">
        <f>ROUND((H100+F100)*0.4*10/10000,2)</f>
        <v>26.67</v>
      </c>
      <c r="L100" s="118">
        <v>60</v>
      </c>
      <c r="M100" s="118">
        <f>SUM(I100:L100)</f>
        <v>1029.08</v>
      </c>
      <c r="N100" s="41">
        <f>I100</f>
        <v>716.66</v>
      </c>
      <c r="O100" s="117">
        <f>ROUND((E100-F100/0.7)*0.1*0.002,2)</f>
        <v>102.38</v>
      </c>
      <c r="P100" s="117">
        <f>ROUND((E100-F100/0.7)*0.2*0.002,2)</f>
        <v>204.76</v>
      </c>
      <c r="Q100" s="117">
        <f>N100-O100-P100</f>
        <v>409.52</v>
      </c>
    </row>
    <row r="101" s="4" customFormat="1" ht="18" customHeight="1" spans="1:17">
      <c r="A101" s="22"/>
      <c r="B101" s="22"/>
      <c r="C101" s="107"/>
      <c r="D101" s="23" t="s">
        <v>123</v>
      </c>
      <c r="E101" s="108">
        <f t="shared" ref="E101:Q101" si="90">SUM(E102:E110)</f>
        <v>2407569</v>
      </c>
      <c r="F101" s="108">
        <f t="shared" si="90"/>
        <v>91745</v>
      </c>
      <c r="G101" s="108">
        <f t="shared" si="90"/>
        <v>1593554</v>
      </c>
      <c r="H101" s="108">
        <f t="shared" si="90"/>
        <v>143421</v>
      </c>
      <c r="I101" s="114">
        <f t="shared" si="90"/>
        <v>3187.11</v>
      </c>
      <c r="J101" s="107">
        <f t="shared" si="90"/>
        <v>1003.93</v>
      </c>
      <c r="K101" s="114">
        <f t="shared" si="90"/>
        <v>94.06</v>
      </c>
      <c r="L101" s="114">
        <f t="shared" si="90"/>
        <v>505</v>
      </c>
      <c r="M101" s="114">
        <f t="shared" si="90"/>
        <v>4790.1</v>
      </c>
      <c r="N101" s="114">
        <f t="shared" si="90"/>
        <v>3187.11</v>
      </c>
      <c r="O101" s="114">
        <f t="shared" si="90"/>
        <v>455.3</v>
      </c>
      <c r="P101" s="114">
        <f t="shared" si="90"/>
        <v>910.59</v>
      </c>
      <c r="Q101" s="114">
        <f t="shared" si="90"/>
        <v>1821.22</v>
      </c>
    </row>
    <row r="102" s="4" customFormat="1" ht="18" customHeight="1" spans="1:17">
      <c r="A102" s="22"/>
      <c r="B102" s="22"/>
      <c r="C102" s="120">
        <v>0.85</v>
      </c>
      <c r="D102" s="10" t="s">
        <v>58</v>
      </c>
      <c r="E102" s="108"/>
      <c r="F102" s="108"/>
      <c r="G102" s="108"/>
      <c r="H102" s="108"/>
      <c r="I102" s="115">
        <f>ROUND(G102*20/10000,2)</f>
        <v>0</v>
      </c>
      <c r="J102" s="107">
        <v>0</v>
      </c>
      <c r="K102" s="117">
        <f>ROUND(H102*0.4*10/10000,2)</f>
        <v>0</v>
      </c>
      <c r="L102" s="118">
        <v>25</v>
      </c>
      <c r="M102" s="118">
        <f>SUM(I102:L102)</f>
        <v>25</v>
      </c>
      <c r="N102" s="41">
        <f>I102</f>
        <v>0</v>
      </c>
      <c r="O102" s="117">
        <f>ROUND((E102-F102/0.7)*0.1*0.002,2)</f>
        <v>0</v>
      </c>
      <c r="P102" s="117">
        <f>ROUND((E102-F102/0.7)*0.2*0.002,2)</f>
        <v>0</v>
      </c>
      <c r="Q102" s="117">
        <f>N102-O102-P102</f>
        <v>0</v>
      </c>
    </row>
    <row r="103" s="4" customFormat="1" ht="18" customHeight="1" spans="1:17">
      <c r="A103" s="22"/>
      <c r="B103" s="22"/>
      <c r="C103" s="109" t="s">
        <v>161</v>
      </c>
      <c r="D103" s="49" t="s">
        <v>183</v>
      </c>
      <c r="E103" s="46">
        <v>744522</v>
      </c>
      <c r="F103" s="108"/>
      <c r="G103" s="110">
        <f t="shared" ref="G103:G110" si="91">ROUND(E103*0.7-F103,0)</f>
        <v>521165</v>
      </c>
      <c r="H103" s="110">
        <f t="shared" ref="H103:H110" si="92">ROUND(G103*0.09,0)</f>
        <v>46905</v>
      </c>
      <c r="I103" s="115">
        <f t="shared" ref="I103:I110" si="93">ROUND(G103*20/10000,2)</f>
        <v>1042.33</v>
      </c>
      <c r="J103" s="116">
        <f t="shared" ref="J103:J110" si="94">ROUND(G103*0.5*0.6*21/10000,2)</f>
        <v>328.33</v>
      </c>
      <c r="K103" s="117">
        <f t="shared" ref="K103:K110" si="95">ROUND((H103+F103)*0.4*10/10000,2)</f>
        <v>18.76</v>
      </c>
      <c r="L103" s="118">
        <v>60</v>
      </c>
      <c r="M103" s="118">
        <f t="shared" ref="M103:M110" si="96">SUM(I103:L103)</f>
        <v>1449.42</v>
      </c>
      <c r="N103" s="41">
        <f t="shared" ref="N103:N110" si="97">I103</f>
        <v>1042.33</v>
      </c>
      <c r="O103" s="117">
        <f t="shared" ref="O103:O110" si="98">ROUND((E103-F103/0.7)*0.1*0.002,2)</f>
        <v>148.9</v>
      </c>
      <c r="P103" s="117">
        <f t="shared" ref="P103:P110" si="99">ROUND((E103-F103/0.7)*0.2*0.002,2)</f>
        <v>297.81</v>
      </c>
      <c r="Q103" s="117">
        <f t="shared" ref="Q103:Q110" si="100">N103-O103-P103</f>
        <v>595.62</v>
      </c>
    </row>
    <row r="104" s="4" customFormat="1" ht="18" customHeight="1" spans="1:17">
      <c r="A104" s="22"/>
      <c r="B104" s="22"/>
      <c r="C104" s="109" t="s">
        <v>161</v>
      </c>
      <c r="D104" s="45" t="s">
        <v>184</v>
      </c>
      <c r="E104" s="46">
        <v>400500</v>
      </c>
      <c r="F104" s="108"/>
      <c r="G104" s="110">
        <f t="shared" si="91"/>
        <v>280350</v>
      </c>
      <c r="H104" s="110">
        <f t="shared" si="92"/>
        <v>25232</v>
      </c>
      <c r="I104" s="115">
        <f t="shared" si="93"/>
        <v>560.7</v>
      </c>
      <c r="J104" s="116">
        <f t="shared" si="94"/>
        <v>176.62</v>
      </c>
      <c r="K104" s="117">
        <f t="shared" si="95"/>
        <v>10.09</v>
      </c>
      <c r="L104" s="118">
        <v>60</v>
      </c>
      <c r="M104" s="118">
        <f t="shared" si="96"/>
        <v>807.41</v>
      </c>
      <c r="N104" s="41">
        <f t="shared" si="97"/>
        <v>560.7</v>
      </c>
      <c r="O104" s="117">
        <f t="shared" si="98"/>
        <v>80.1</v>
      </c>
      <c r="P104" s="117">
        <f t="shared" si="99"/>
        <v>160.2</v>
      </c>
      <c r="Q104" s="117">
        <f t="shared" si="100"/>
        <v>320.4</v>
      </c>
    </row>
    <row r="105" s="1" customFormat="1" ht="18" customHeight="1" spans="1:17">
      <c r="A105" s="10">
        <v>441821</v>
      </c>
      <c r="B105" s="10" t="s">
        <v>124</v>
      </c>
      <c r="C105" s="120">
        <v>0.85</v>
      </c>
      <c r="D105" s="10" t="s">
        <v>125</v>
      </c>
      <c r="E105" s="46">
        <v>205323</v>
      </c>
      <c r="F105" s="46">
        <v>9832</v>
      </c>
      <c r="G105" s="110">
        <f t="shared" si="91"/>
        <v>133894</v>
      </c>
      <c r="H105" s="110">
        <f t="shared" si="92"/>
        <v>12050</v>
      </c>
      <c r="I105" s="115">
        <f t="shared" si="93"/>
        <v>267.79</v>
      </c>
      <c r="J105" s="116">
        <f t="shared" si="94"/>
        <v>84.35</v>
      </c>
      <c r="K105" s="117">
        <f t="shared" si="95"/>
        <v>8.75</v>
      </c>
      <c r="L105" s="118">
        <v>60</v>
      </c>
      <c r="M105" s="118">
        <f t="shared" si="96"/>
        <v>420.89</v>
      </c>
      <c r="N105" s="41">
        <f t="shared" si="97"/>
        <v>267.79</v>
      </c>
      <c r="O105" s="117">
        <f t="shared" si="98"/>
        <v>38.26</v>
      </c>
      <c r="P105" s="117">
        <f t="shared" si="99"/>
        <v>76.51</v>
      </c>
      <c r="Q105" s="117">
        <f t="shared" si="100"/>
        <v>153.02</v>
      </c>
    </row>
    <row r="106" s="1" customFormat="1" ht="18" customHeight="1" spans="1:17">
      <c r="A106" s="10">
        <v>441823</v>
      </c>
      <c r="B106" s="10" t="s">
        <v>124</v>
      </c>
      <c r="C106" s="120">
        <v>0.85</v>
      </c>
      <c r="D106" s="10" t="s">
        <v>126</v>
      </c>
      <c r="E106" s="46">
        <v>226254</v>
      </c>
      <c r="F106" s="46">
        <v>12905</v>
      </c>
      <c r="G106" s="110">
        <f t="shared" si="91"/>
        <v>145473</v>
      </c>
      <c r="H106" s="110">
        <f t="shared" si="92"/>
        <v>13093</v>
      </c>
      <c r="I106" s="115">
        <f t="shared" si="93"/>
        <v>290.95</v>
      </c>
      <c r="J106" s="116">
        <f t="shared" si="94"/>
        <v>91.65</v>
      </c>
      <c r="K106" s="117">
        <f t="shared" si="95"/>
        <v>10.4</v>
      </c>
      <c r="L106" s="118">
        <v>60</v>
      </c>
      <c r="M106" s="118">
        <f t="shared" si="96"/>
        <v>453</v>
      </c>
      <c r="N106" s="41">
        <f t="shared" si="97"/>
        <v>290.95</v>
      </c>
      <c r="O106" s="117">
        <f t="shared" si="98"/>
        <v>41.56</v>
      </c>
      <c r="P106" s="117">
        <f t="shared" si="99"/>
        <v>83.13</v>
      </c>
      <c r="Q106" s="117">
        <f t="shared" si="100"/>
        <v>166.26</v>
      </c>
    </row>
    <row r="107" s="1" customFormat="1" ht="18" customHeight="1" spans="1:17">
      <c r="A107" s="10">
        <v>441825</v>
      </c>
      <c r="B107" s="10" t="s">
        <v>124</v>
      </c>
      <c r="C107" s="120">
        <v>1</v>
      </c>
      <c r="D107" s="10" t="s">
        <v>127</v>
      </c>
      <c r="E107" s="46">
        <v>52535</v>
      </c>
      <c r="F107" s="46">
        <v>931</v>
      </c>
      <c r="G107" s="110">
        <f t="shared" si="91"/>
        <v>35844</v>
      </c>
      <c r="H107" s="110">
        <f t="shared" si="92"/>
        <v>3226</v>
      </c>
      <c r="I107" s="115">
        <f t="shared" si="93"/>
        <v>71.69</v>
      </c>
      <c r="J107" s="116">
        <f t="shared" si="94"/>
        <v>22.58</v>
      </c>
      <c r="K107" s="117">
        <f t="shared" si="95"/>
        <v>1.66</v>
      </c>
      <c r="L107" s="118">
        <v>60</v>
      </c>
      <c r="M107" s="118">
        <f t="shared" si="96"/>
        <v>155.93</v>
      </c>
      <c r="N107" s="41">
        <f t="shared" si="97"/>
        <v>71.69</v>
      </c>
      <c r="O107" s="117">
        <f t="shared" si="98"/>
        <v>10.24</v>
      </c>
      <c r="P107" s="117">
        <f t="shared" si="99"/>
        <v>20.48</v>
      </c>
      <c r="Q107" s="117">
        <f t="shared" si="100"/>
        <v>40.97</v>
      </c>
    </row>
    <row r="108" s="1" customFormat="1" ht="18" customHeight="1" spans="1:17">
      <c r="A108" s="10">
        <v>441826</v>
      </c>
      <c r="B108" s="10" t="s">
        <v>124</v>
      </c>
      <c r="C108" s="120">
        <v>1</v>
      </c>
      <c r="D108" s="10" t="s">
        <v>128</v>
      </c>
      <c r="E108" s="46">
        <v>66948</v>
      </c>
      <c r="F108" s="46">
        <v>6274</v>
      </c>
      <c r="G108" s="110">
        <f t="shared" si="91"/>
        <v>40590</v>
      </c>
      <c r="H108" s="110">
        <f t="shared" si="92"/>
        <v>3653</v>
      </c>
      <c r="I108" s="115">
        <f t="shared" si="93"/>
        <v>81.18</v>
      </c>
      <c r="J108" s="116">
        <f t="shared" si="94"/>
        <v>25.57</v>
      </c>
      <c r="K108" s="117">
        <f t="shared" si="95"/>
        <v>3.97</v>
      </c>
      <c r="L108" s="118">
        <v>60</v>
      </c>
      <c r="M108" s="118">
        <f t="shared" si="96"/>
        <v>170.72</v>
      </c>
      <c r="N108" s="41">
        <f t="shared" si="97"/>
        <v>81.18</v>
      </c>
      <c r="O108" s="117">
        <f t="shared" si="98"/>
        <v>11.6</v>
      </c>
      <c r="P108" s="117">
        <f t="shared" si="99"/>
        <v>23.19</v>
      </c>
      <c r="Q108" s="117">
        <f t="shared" si="100"/>
        <v>46.39</v>
      </c>
    </row>
    <row r="109" s="1" customFormat="1" ht="18" customHeight="1" spans="1:17">
      <c r="A109" s="10">
        <v>441881</v>
      </c>
      <c r="B109" s="10" t="s">
        <v>124</v>
      </c>
      <c r="C109" s="120">
        <v>0.85</v>
      </c>
      <c r="D109" s="10" t="s">
        <v>129</v>
      </c>
      <c r="E109" s="46">
        <v>481427</v>
      </c>
      <c r="F109" s="46">
        <v>33857</v>
      </c>
      <c r="G109" s="110">
        <f t="shared" si="91"/>
        <v>303142</v>
      </c>
      <c r="H109" s="110">
        <f t="shared" si="92"/>
        <v>27283</v>
      </c>
      <c r="I109" s="115">
        <f t="shared" si="93"/>
        <v>606.28</v>
      </c>
      <c r="J109" s="116">
        <f t="shared" si="94"/>
        <v>190.98</v>
      </c>
      <c r="K109" s="117">
        <f t="shared" si="95"/>
        <v>24.46</v>
      </c>
      <c r="L109" s="118">
        <v>60</v>
      </c>
      <c r="M109" s="118">
        <f t="shared" si="96"/>
        <v>881.72</v>
      </c>
      <c r="N109" s="41">
        <f t="shared" si="97"/>
        <v>606.28</v>
      </c>
      <c r="O109" s="117">
        <f t="shared" si="98"/>
        <v>86.61</v>
      </c>
      <c r="P109" s="117">
        <f t="shared" si="99"/>
        <v>173.22</v>
      </c>
      <c r="Q109" s="117">
        <f t="shared" si="100"/>
        <v>346.45</v>
      </c>
    </row>
    <row r="110" s="1" customFormat="1" ht="18" customHeight="1" spans="1:17">
      <c r="A110" s="10">
        <v>441882</v>
      </c>
      <c r="B110" s="10" t="s">
        <v>124</v>
      </c>
      <c r="C110" s="120">
        <v>0.85</v>
      </c>
      <c r="D110" s="10" t="s">
        <v>130</v>
      </c>
      <c r="E110" s="46">
        <v>230060</v>
      </c>
      <c r="F110" s="46">
        <v>27946</v>
      </c>
      <c r="G110" s="110">
        <f t="shared" si="91"/>
        <v>133096</v>
      </c>
      <c r="H110" s="110">
        <f t="shared" si="92"/>
        <v>11979</v>
      </c>
      <c r="I110" s="115">
        <f t="shared" si="93"/>
        <v>266.19</v>
      </c>
      <c r="J110" s="116">
        <f t="shared" si="94"/>
        <v>83.85</v>
      </c>
      <c r="K110" s="117">
        <f t="shared" si="95"/>
        <v>15.97</v>
      </c>
      <c r="L110" s="118">
        <v>60</v>
      </c>
      <c r="M110" s="118">
        <f t="shared" si="96"/>
        <v>426.01</v>
      </c>
      <c r="N110" s="41">
        <f t="shared" si="97"/>
        <v>266.19</v>
      </c>
      <c r="O110" s="117">
        <f t="shared" si="98"/>
        <v>38.03</v>
      </c>
      <c r="P110" s="117">
        <f t="shared" si="99"/>
        <v>76.05</v>
      </c>
      <c r="Q110" s="117">
        <f t="shared" si="100"/>
        <v>152.11</v>
      </c>
    </row>
    <row r="111" s="4" customFormat="1" ht="18" customHeight="1" spans="1:17">
      <c r="A111" s="22">
        <v>445100</v>
      </c>
      <c r="B111" s="22" t="s">
        <v>131</v>
      </c>
      <c r="C111" s="107"/>
      <c r="D111" s="23" t="s">
        <v>132</v>
      </c>
      <c r="E111" s="108">
        <f t="shared" ref="E111:Q111" si="101">SUM(E112:E115)</f>
        <v>1793932</v>
      </c>
      <c r="F111" s="108">
        <f t="shared" si="101"/>
        <v>4652</v>
      </c>
      <c r="G111" s="108">
        <f t="shared" si="101"/>
        <v>1251101</v>
      </c>
      <c r="H111" s="108">
        <f t="shared" si="101"/>
        <v>112599</v>
      </c>
      <c r="I111" s="114">
        <f t="shared" si="101"/>
        <v>2502.19</v>
      </c>
      <c r="J111" s="107">
        <f t="shared" si="101"/>
        <v>788.19</v>
      </c>
      <c r="K111" s="114">
        <f t="shared" si="101"/>
        <v>46.9</v>
      </c>
      <c r="L111" s="114">
        <f t="shared" si="101"/>
        <v>205</v>
      </c>
      <c r="M111" s="114">
        <f t="shared" si="101"/>
        <v>3542.28</v>
      </c>
      <c r="N111" s="114">
        <f t="shared" si="101"/>
        <v>2502.19</v>
      </c>
      <c r="O111" s="114">
        <f t="shared" si="101"/>
        <v>357.46</v>
      </c>
      <c r="P111" s="114">
        <f t="shared" si="101"/>
        <v>714.92</v>
      </c>
      <c r="Q111" s="114">
        <f t="shared" si="101"/>
        <v>1429.81</v>
      </c>
    </row>
    <row r="112" s="4" customFormat="1" ht="18" customHeight="1" spans="1:17">
      <c r="A112" s="22"/>
      <c r="B112" s="22"/>
      <c r="C112" s="120">
        <v>0.85</v>
      </c>
      <c r="D112" s="10" t="s">
        <v>58</v>
      </c>
      <c r="E112" s="108"/>
      <c r="F112" s="108"/>
      <c r="G112" s="108"/>
      <c r="H112" s="108"/>
      <c r="I112" s="115">
        <f>ROUND(G112*20/10000,2)</f>
        <v>0</v>
      </c>
      <c r="J112" s="107">
        <v>0</v>
      </c>
      <c r="K112" s="117">
        <f>ROUND(H112*0.4*10/10000,2)</f>
        <v>0</v>
      </c>
      <c r="L112" s="118">
        <v>25</v>
      </c>
      <c r="M112" s="118">
        <f>SUM(I112:L112)</f>
        <v>25</v>
      </c>
      <c r="N112" s="41">
        <f>I112</f>
        <v>0</v>
      </c>
      <c r="O112" s="41">
        <v>0</v>
      </c>
      <c r="P112" s="41">
        <v>0</v>
      </c>
      <c r="Q112" s="41">
        <v>0</v>
      </c>
    </row>
    <row r="113" s="4" customFormat="1" ht="18" customHeight="1" spans="1:17">
      <c r="A113" s="22"/>
      <c r="B113" s="22"/>
      <c r="C113" s="109" t="s">
        <v>161</v>
      </c>
      <c r="D113" s="45" t="s">
        <v>185</v>
      </c>
      <c r="E113" s="46">
        <v>401060</v>
      </c>
      <c r="F113" s="108"/>
      <c r="G113" s="110">
        <f>ROUND(E113*0.7-F113,0)</f>
        <v>280742</v>
      </c>
      <c r="H113" s="110">
        <f>ROUND(G113*0.09,0)</f>
        <v>25267</v>
      </c>
      <c r="I113" s="115">
        <f>ROUND(G113*20/10000,2)</f>
        <v>561.48</v>
      </c>
      <c r="J113" s="116">
        <f>ROUND(G113*0.5*0.6*21/10000,2)</f>
        <v>176.87</v>
      </c>
      <c r="K113" s="117">
        <f>ROUND((H113+F113)*0.4*10/10000,2)</f>
        <v>10.11</v>
      </c>
      <c r="L113" s="118">
        <v>60</v>
      </c>
      <c r="M113" s="118">
        <f>SUM(I113:L113)</f>
        <v>808.46</v>
      </c>
      <c r="N113" s="41">
        <f>I113</f>
        <v>561.48</v>
      </c>
      <c r="O113" s="117">
        <f>ROUND((E113-F113/0.7)*0.1*0.002,2)</f>
        <v>80.21</v>
      </c>
      <c r="P113" s="117">
        <f>ROUND((E113-F113/0.7)*0.2*0.002,2)</f>
        <v>160.42</v>
      </c>
      <c r="Q113" s="117">
        <f>N113-O113-P113</f>
        <v>320.85</v>
      </c>
    </row>
    <row r="114" s="4" customFormat="1" ht="18" customHeight="1" spans="1:17">
      <c r="A114" s="22"/>
      <c r="B114" s="22"/>
      <c r="C114" s="109" t="s">
        <v>161</v>
      </c>
      <c r="D114" s="45" t="s">
        <v>186</v>
      </c>
      <c r="E114" s="46">
        <v>815538</v>
      </c>
      <c r="F114" s="108"/>
      <c r="G114" s="110">
        <f>ROUND(E114*0.7-F114,0)</f>
        <v>570877</v>
      </c>
      <c r="H114" s="110">
        <f>ROUND(G114*0.09,0)</f>
        <v>51379</v>
      </c>
      <c r="I114" s="115">
        <f>ROUND(G114*20/10000,2)</f>
        <v>1141.75</v>
      </c>
      <c r="J114" s="116">
        <f>ROUND(G114*0.5*0.6*21/10000,2)</f>
        <v>359.65</v>
      </c>
      <c r="K114" s="117">
        <f>ROUND((H114+F114)*0.4*10/10000,2)</f>
        <v>20.55</v>
      </c>
      <c r="L114" s="118">
        <v>60</v>
      </c>
      <c r="M114" s="118">
        <f>SUM(I114:L114)</f>
        <v>1581.95</v>
      </c>
      <c r="N114" s="41">
        <f>I114</f>
        <v>1141.75</v>
      </c>
      <c r="O114" s="117">
        <f>ROUND((E114-F114/0.7)*0.1*0.002,2)</f>
        <v>163.11</v>
      </c>
      <c r="P114" s="117">
        <f>ROUND((E114-F114/0.7)*0.2*0.002,2)</f>
        <v>326.22</v>
      </c>
      <c r="Q114" s="117">
        <f>N114-O114-P114</f>
        <v>652.42</v>
      </c>
    </row>
    <row r="115" s="1" customFormat="1" ht="18" customHeight="1" spans="1:17">
      <c r="A115" s="10">
        <v>445122</v>
      </c>
      <c r="B115" s="10" t="s">
        <v>131</v>
      </c>
      <c r="C115" s="120">
        <v>1</v>
      </c>
      <c r="D115" s="10" t="s">
        <v>133</v>
      </c>
      <c r="E115" s="46">
        <v>577334</v>
      </c>
      <c r="F115" s="46">
        <v>4652</v>
      </c>
      <c r="G115" s="110">
        <f>ROUND(E115*0.7-F115,0)</f>
        <v>399482</v>
      </c>
      <c r="H115" s="110">
        <f>ROUND(G115*0.09,0)</f>
        <v>35953</v>
      </c>
      <c r="I115" s="115">
        <f>ROUND(G115*20/10000,2)</f>
        <v>798.96</v>
      </c>
      <c r="J115" s="116">
        <f>ROUND(G115*0.5*0.6*21/10000,2)</f>
        <v>251.67</v>
      </c>
      <c r="K115" s="117">
        <f>ROUND((H115+F115)*0.4*10/10000,2)</f>
        <v>16.24</v>
      </c>
      <c r="L115" s="118">
        <v>60</v>
      </c>
      <c r="M115" s="118">
        <f>SUM(I115:L115)</f>
        <v>1126.87</v>
      </c>
      <c r="N115" s="41">
        <f>I115</f>
        <v>798.96</v>
      </c>
      <c r="O115" s="117">
        <f>ROUND((E115-F115/0.7)*0.1*0.002,2)</f>
        <v>114.14</v>
      </c>
      <c r="P115" s="117">
        <f>ROUND((E115-F115/0.7)*0.2*0.002,2)</f>
        <v>228.28</v>
      </c>
      <c r="Q115" s="117">
        <f>N115-O115-P115</f>
        <v>456.54</v>
      </c>
    </row>
    <row r="116" s="4" customFormat="1" ht="18" customHeight="1" spans="1:17">
      <c r="A116" s="22">
        <v>445200</v>
      </c>
      <c r="B116" s="22" t="s">
        <v>134</v>
      </c>
      <c r="C116" s="107"/>
      <c r="D116" s="23" t="s">
        <v>135</v>
      </c>
      <c r="E116" s="108">
        <f t="shared" ref="E116:Q116" si="102">SUM(E117:E122)</f>
        <v>3173971</v>
      </c>
      <c r="F116" s="108">
        <f t="shared" si="102"/>
        <v>13897</v>
      </c>
      <c r="G116" s="108">
        <f t="shared" si="102"/>
        <v>2207884</v>
      </c>
      <c r="H116" s="108">
        <f t="shared" si="102"/>
        <v>198710</v>
      </c>
      <c r="I116" s="114">
        <f t="shared" si="102"/>
        <v>4415.78</v>
      </c>
      <c r="J116" s="107">
        <f t="shared" si="102"/>
        <v>1390.97</v>
      </c>
      <c r="K116" s="114">
        <f t="shared" si="102"/>
        <v>85.04</v>
      </c>
      <c r="L116" s="114">
        <f t="shared" si="102"/>
        <v>325</v>
      </c>
      <c r="M116" s="114">
        <f t="shared" si="102"/>
        <v>6216.79</v>
      </c>
      <c r="N116" s="114">
        <f t="shared" si="102"/>
        <v>4415.78</v>
      </c>
      <c r="O116" s="114">
        <f t="shared" si="102"/>
        <v>630.82</v>
      </c>
      <c r="P116" s="114">
        <f t="shared" si="102"/>
        <v>1261.65</v>
      </c>
      <c r="Q116" s="114">
        <f t="shared" si="102"/>
        <v>2523.31</v>
      </c>
    </row>
    <row r="117" s="4" customFormat="1" ht="18" customHeight="1" spans="1:17">
      <c r="A117" s="22"/>
      <c r="B117" s="22"/>
      <c r="C117" s="120">
        <v>0.85</v>
      </c>
      <c r="D117" s="10" t="s">
        <v>58</v>
      </c>
      <c r="E117" s="108"/>
      <c r="F117" s="108"/>
      <c r="G117" s="108"/>
      <c r="H117" s="108"/>
      <c r="I117" s="115">
        <f t="shared" ref="I117:I122" si="103">ROUND(G117*20/10000,2)</f>
        <v>0</v>
      </c>
      <c r="J117" s="107">
        <v>0</v>
      </c>
      <c r="K117" s="117">
        <f>ROUND(H117*0.4*10/10000,2)</f>
        <v>0</v>
      </c>
      <c r="L117" s="118">
        <v>25</v>
      </c>
      <c r="M117" s="118">
        <f t="shared" ref="M117:M122" si="104">SUM(I117:L117)</f>
        <v>25</v>
      </c>
      <c r="N117" s="41">
        <f t="shared" ref="N117:N122" si="105">I117</f>
        <v>0</v>
      </c>
      <c r="O117" s="117">
        <f t="shared" ref="O117:O122" si="106">ROUND((E117-F117/0.7)*0.1*0.002,2)</f>
        <v>0</v>
      </c>
      <c r="P117" s="117">
        <f t="shared" ref="P117:P122" si="107">ROUND((E117-F117/0.7)*0.2*0.002,2)</f>
        <v>0</v>
      </c>
      <c r="Q117" s="117">
        <f t="shared" ref="Q117:Q122" si="108">N117-O117-P117</f>
        <v>0</v>
      </c>
    </row>
    <row r="118" s="4" customFormat="1" ht="18" customHeight="1" spans="1:17">
      <c r="A118" s="22"/>
      <c r="B118" s="22"/>
      <c r="C118" s="109" t="s">
        <v>161</v>
      </c>
      <c r="D118" s="45" t="s">
        <v>187</v>
      </c>
      <c r="E118" s="46">
        <v>626061</v>
      </c>
      <c r="F118" s="108"/>
      <c r="G118" s="110">
        <f>ROUND(E118*0.7-F118,0)</f>
        <v>438243</v>
      </c>
      <c r="H118" s="110">
        <f>ROUND(G118*0.09,0)</f>
        <v>39442</v>
      </c>
      <c r="I118" s="115">
        <f t="shared" si="103"/>
        <v>876.49</v>
      </c>
      <c r="J118" s="116">
        <f>ROUND(G118*0.5*0.6*21/10000,2)</f>
        <v>276.09</v>
      </c>
      <c r="K118" s="117">
        <f>ROUND((H118+F118)*0.4*10/10000,2)</f>
        <v>15.78</v>
      </c>
      <c r="L118" s="118">
        <v>60</v>
      </c>
      <c r="M118" s="118">
        <f t="shared" si="104"/>
        <v>1228.36</v>
      </c>
      <c r="N118" s="41">
        <f t="shared" si="105"/>
        <v>876.49</v>
      </c>
      <c r="O118" s="117">
        <f t="shared" si="106"/>
        <v>125.21</v>
      </c>
      <c r="P118" s="117">
        <f t="shared" si="107"/>
        <v>250.42</v>
      </c>
      <c r="Q118" s="117">
        <f t="shared" si="108"/>
        <v>500.86</v>
      </c>
    </row>
    <row r="119" s="4" customFormat="1" ht="18" customHeight="1" spans="1:17">
      <c r="A119" s="22"/>
      <c r="B119" s="22"/>
      <c r="C119" s="109" t="s">
        <v>161</v>
      </c>
      <c r="D119" s="45" t="s">
        <v>188</v>
      </c>
      <c r="E119" s="46">
        <v>601991</v>
      </c>
      <c r="F119" s="108"/>
      <c r="G119" s="110">
        <f>ROUND(E119*0.7-F119,0)</f>
        <v>421394</v>
      </c>
      <c r="H119" s="110">
        <f>ROUND(G119*0.09,0)</f>
        <v>37925</v>
      </c>
      <c r="I119" s="115">
        <f t="shared" si="103"/>
        <v>842.79</v>
      </c>
      <c r="J119" s="116">
        <f>ROUND(G119*0.5*0.6*21/10000,2)</f>
        <v>265.48</v>
      </c>
      <c r="K119" s="117">
        <f>ROUND((H119+F119)*0.4*10/10000,2)</f>
        <v>15.17</v>
      </c>
      <c r="L119" s="118">
        <v>60</v>
      </c>
      <c r="M119" s="118">
        <f t="shared" si="104"/>
        <v>1183.44</v>
      </c>
      <c r="N119" s="41">
        <f t="shared" si="105"/>
        <v>842.79</v>
      </c>
      <c r="O119" s="117">
        <f t="shared" si="106"/>
        <v>120.4</v>
      </c>
      <c r="P119" s="117">
        <f t="shared" si="107"/>
        <v>240.8</v>
      </c>
      <c r="Q119" s="117">
        <f t="shared" si="108"/>
        <v>481.59</v>
      </c>
    </row>
    <row r="120" s="1" customFormat="1" ht="18" customHeight="1" spans="1:17">
      <c r="A120" s="10">
        <v>445222</v>
      </c>
      <c r="B120" s="10" t="s">
        <v>134</v>
      </c>
      <c r="C120" s="120">
        <v>1</v>
      </c>
      <c r="D120" s="10" t="s">
        <v>136</v>
      </c>
      <c r="E120" s="46">
        <v>366294</v>
      </c>
      <c r="F120" s="46">
        <v>1978</v>
      </c>
      <c r="G120" s="110">
        <f>ROUND(E120*0.7-F120,0)</f>
        <v>254428</v>
      </c>
      <c r="H120" s="110">
        <f>ROUND(G120*0.09,0)</f>
        <v>22899</v>
      </c>
      <c r="I120" s="115">
        <f t="shared" si="103"/>
        <v>508.86</v>
      </c>
      <c r="J120" s="116">
        <f>ROUND(G120*0.5*0.6*21/10000,2)</f>
        <v>160.29</v>
      </c>
      <c r="K120" s="117">
        <f>ROUND((H120+F120)*0.4*10/10000,2)</f>
        <v>9.95</v>
      </c>
      <c r="L120" s="118">
        <v>60</v>
      </c>
      <c r="M120" s="118">
        <f t="shared" si="104"/>
        <v>739.1</v>
      </c>
      <c r="N120" s="41">
        <f t="shared" si="105"/>
        <v>508.86</v>
      </c>
      <c r="O120" s="117">
        <f t="shared" si="106"/>
        <v>72.69</v>
      </c>
      <c r="P120" s="117">
        <f t="shared" si="107"/>
        <v>145.39</v>
      </c>
      <c r="Q120" s="117">
        <f t="shared" si="108"/>
        <v>290.78</v>
      </c>
    </row>
    <row r="121" s="1" customFormat="1" ht="18" customHeight="1" spans="1:17">
      <c r="A121" s="10">
        <v>445224</v>
      </c>
      <c r="B121" s="10" t="s">
        <v>134</v>
      </c>
      <c r="C121" s="120">
        <v>1</v>
      </c>
      <c r="D121" s="10" t="s">
        <v>137</v>
      </c>
      <c r="E121" s="46">
        <v>554985</v>
      </c>
      <c r="F121" s="46">
        <v>6284</v>
      </c>
      <c r="G121" s="110">
        <f>ROUND(E121*0.7-F121,0)</f>
        <v>382206</v>
      </c>
      <c r="H121" s="110">
        <f>ROUND(G121*0.09,0)</f>
        <v>34399</v>
      </c>
      <c r="I121" s="115">
        <f t="shared" si="103"/>
        <v>764.41</v>
      </c>
      <c r="J121" s="116">
        <f>ROUND(G121*0.5*0.6*21/10000,2)</f>
        <v>240.79</v>
      </c>
      <c r="K121" s="117">
        <f>ROUND((H121+F121)*0.4*10/10000,2)</f>
        <v>16.27</v>
      </c>
      <c r="L121" s="118">
        <v>60</v>
      </c>
      <c r="M121" s="118">
        <f t="shared" si="104"/>
        <v>1081.47</v>
      </c>
      <c r="N121" s="41">
        <f t="shared" si="105"/>
        <v>764.41</v>
      </c>
      <c r="O121" s="117">
        <f t="shared" si="106"/>
        <v>109.2</v>
      </c>
      <c r="P121" s="117">
        <f t="shared" si="107"/>
        <v>218.4</v>
      </c>
      <c r="Q121" s="117">
        <f t="shared" si="108"/>
        <v>436.81</v>
      </c>
    </row>
    <row r="122" s="1" customFormat="1" ht="18" customHeight="1" spans="1:17">
      <c r="A122" s="10">
        <v>445281</v>
      </c>
      <c r="B122" s="10" t="s">
        <v>134</v>
      </c>
      <c r="C122" s="120">
        <v>1</v>
      </c>
      <c r="D122" s="10" t="s">
        <v>138</v>
      </c>
      <c r="E122" s="46">
        <v>1024640</v>
      </c>
      <c r="F122" s="46">
        <v>5635</v>
      </c>
      <c r="G122" s="110">
        <f>ROUND(E122*0.7-F122,0)</f>
        <v>711613</v>
      </c>
      <c r="H122" s="110">
        <f>ROUND(G122*0.09,0)</f>
        <v>64045</v>
      </c>
      <c r="I122" s="115">
        <f t="shared" si="103"/>
        <v>1423.23</v>
      </c>
      <c r="J122" s="116">
        <f>ROUND(G122*0.5*0.6*21/10000,2)</f>
        <v>448.32</v>
      </c>
      <c r="K122" s="117">
        <f>ROUND((H122+F122)*0.4*10/10000,2)</f>
        <v>27.87</v>
      </c>
      <c r="L122" s="118">
        <v>60</v>
      </c>
      <c r="M122" s="118">
        <f t="shared" si="104"/>
        <v>1959.42</v>
      </c>
      <c r="N122" s="41">
        <f t="shared" si="105"/>
        <v>1423.23</v>
      </c>
      <c r="O122" s="117">
        <f t="shared" si="106"/>
        <v>203.32</v>
      </c>
      <c r="P122" s="117">
        <f t="shared" si="107"/>
        <v>406.64</v>
      </c>
      <c r="Q122" s="117">
        <f t="shared" si="108"/>
        <v>813.27</v>
      </c>
    </row>
    <row r="123" s="4" customFormat="1" ht="18" customHeight="1" spans="1:17">
      <c r="A123" s="22">
        <v>445300</v>
      </c>
      <c r="B123" s="22" t="s">
        <v>139</v>
      </c>
      <c r="C123" s="107"/>
      <c r="D123" s="23" t="s">
        <v>140</v>
      </c>
      <c r="E123" s="108">
        <f t="shared" ref="E123:Q123" si="109">SUM(E124:E129)</f>
        <v>1353853</v>
      </c>
      <c r="F123" s="108">
        <f t="shared" si="109"/>
        <v>68637</v>
      </c>
      <c r="G123" s="108">
        <f t="shared" si="109"/>
        <v>879060</v>
      </c>
      <c r="H123" s="108">
        <f t="shared" si="109"/>
        <v>79116</v>
      </c>
      <c r="I123" s="114">
        <f t="shared" si="109"/>
        <v>1758.12</v>
      </c>
      <c r="J123" s="107">
        <f t="shared" si="109"/>
        <v>553.8</v>
      </c>
      <c r="K123" s="114">
        <f t="shared" si="109"/>
        <v>59.1</v>
      </c>
      <c r="L123" s="114">
        <f t="shared" si="109"/>
        <v>325</v>
      </c>
      <c r="M123" s="114">
        <f t="shared" si="109"/>
        <v>2696.02</v>
      </c>
      <c r="N123" s="114">
        <f t="shared" si="109"/>
        <v>1758.12</v>
      </c>
      <c r="O123" s="114">
        <f t="shared" si="109"/>
        <v>251.16</v>
      </c>
      <c r="P123" s="114">
        <f t="shared" si="109"/>
        <v>502.33</v>
      </c>
      <c r="Q123" s="114">
        <f t="shared" si="109"/>
        <v>1004.63</v>
      </c>
    </row>
    <row r="124" s="4" customFormat="1" ht="18" customHeight="1" spans="1:17">
      <c r="A124" s="22"/>
      <c r="B124" s="22"/>
      <c r="C124" s="120">
        <v>0.85</v>
      </c>
      <c r="D124" s="10" t="s">
        <v>58</v>
      </c>
      <c r="E124" s="108"/>
      <c r="F124" s="108"/>
      <c r="G124" s="108"/>
      <c r="H124" s="108"/>
      <c r="I124" s="115">
        <f t="shared" ref="I124:I129" si="110">ROUND(G124*20/10000,2)</f>
        <v>0</v>
      </c>
      <c r="J124" s="107">
        <v>0</v>
      </c>
      <c r="K124" s="117">
        <f>ROUND(H124*0.4*10/10000,2)</f>
        <v>0</v>
      </c>
      <c r="L124" s="118">
        <v>25</v>
      </c>
      <c r="M124" s="118">
        <f t="shared" ref="M124:M129" si="111">SUM(I124:L124)</f>
        <v>25</v>
      </c>
      <c r="N124" s="41">
        <f t="shared" ref="N124:N129" si="112">I124</f>
        <v>0</v>
      </c>
      <c r="O124" s="117">
        <f t="shared" ref="O124:O129" si="113">ROUND((E124-F124/0.7)*0.1*0.002,2)</f>
        <v>0</v>
      </c>
      <c r="P124" s="117">
        <f t="shared" ref="P124:P129" si="114">ROUND((E124-F124/0.7)*0.2*0.002,2)</f>
        <v>0</v>
      </c>
      <c r="Q124" s="117">
        <f t="shared" ref="Q124:Q129" si="115">N124-O124-P124</f>
        <v>0</v>
      </c>
    </row>
    <row r="125" s="4" customFormat="1" ht="18" customHeight="1" spans="1:17">
      <c r="A125" s="22"/>
      <c r="B125" s="22"/>
      <c r="C125" s="109" t="s">
        <v>161</v>
      </c>
      <c r="D125" s="45" t="s">
        <v>189</v>
      </c>
      <c r="E125" s="46">
        <v>267092</v>
      </c>
      <c r="F125" s="108"/>
      <c r="G125" s="110">
        <f>ROUND(E125*0.7-F125,0)</f>
        <v>186964</v>
      </c>
      <c r="H125" s="110">
        <f>ROUND(G125*0.09,0)</f>
        <v>16827</v>
      </c>
      <c r="I125" s="115">
        <f t="shared" si="110"/>
        <v>373.93</v>
      </c>
      <c r="J125" s="116">
        <f>ROUND(G125*0.5*0.6*21/10000,2)</f>
        <v>117.79</v>
      </c>
      <c r="K125" s="117">
        <f>ROUND((H125+F125)*0.4*10/10000,2)</f>
        <v>6.73</v>
      </c>
      <c r="L125" s="118">
        <v>60</v>
      </c>
      <c r="M125" s="118">
        <f t="shared" si="111"/>
        <v>558.45</v>
      </c>
      <c r="N125" s="41">
        <f t="shared" si="112"/>
        <v>373.93</v>
      </c>
      <c r="O125" s="117">
        <f t="shared" si="113"/>
        <v>53.42</v>
      </c>
      <c r="P125" s="117">
        <f t="shared" si="114"/>
        <v>106.84</v>
      </c>
      <c r="Q125" s="117">
        <f t="shared" si="115"/>
        <v>213.67</v>
      </c>
    </row>
    <row r="126" s="4" customFormat="1" ht="18" customHeight="1" spans="1:17">
      <c r="A126" s="22"/>
      <c r="B126" s="22"/>
      <c r="C126" s="109" t="s">
        <v>161</v>
      </c>
      <c r="D126" s="45" t="s">
        <v>190</v>
      </c>
      <c r="E126" s="46">
        <v>144665</v>
      </c>
      <c r="F126" s="108"/>
      <c r="G126" s="110">
        <f>ROUND(E126*0.7-F126,0)</f>
        <v>101266</v>
      </c>
      <c r="H126" s="110">
        <f>ROUND(G126*0.09,0)</f>
        <v>9114</v>
      </c>
      <c r="I126" s="115">
        <f t="shared" si="110"/>
        <v>202.53</v>
      </c>
      <c r="J126" s="116">
        <f>ROUND(G126*0.5*0.6*21/10000,2)</f>
        <v>63.8</v>
      </c>
      <c r="K126" s="117">
        <f>ROUND((H126+F126)*0.4*10/10000,2)</f>
        <v>3.65</v>
      </c>
      <c r="L126" s="118">
        <v>60</v>
      </c>
      <c r="M126" s="118">
        <f t="shared" si="111"/>
        <v>329.98</v>
      </c>
      <c r="N126" s="41">
        <f t="shared" si="112"/>
        <v>202.53</v>
      </c>
      <c r="O126" s="117">
        <f t="shared" si="113"/>
        <v>28.93</v>
      </c>
      <c r="P126" s="117">
        <f t="shared" si="114"/>
        <v>57.87</v>
      </c>
      <c r="Q126" s="117">
        <f t="shared" si="115"/>
        <v>115.73</v>
      </c>
    </row>
    <row r="127" s="1" customFormat="1" ht="18" customHeight="1" spans="1:17">
      <c r="A127" s="10">
        <v>445321</v>
      </c>
      <c r="B127" s="10" t="s">
        <v>139</v>
      </c>
      <c r="C127" s="120">
        <v>0.85</v>
      </c>
      <c r="D127" s="10" t="s">
        <v>141</v>
      </c>
      <c r="E127" s="46">
        <v>271061</v>
      </c>
      <c r="F127" s="46">
        <v>15657</v>
      </c>
      <c r="G127" s="110">
        <f>ROUND(E127*0.7-F127,0)</f>
        <v>174086</v>
      </c>
      <c r="H127" s="110">
        <f>ROUND(G127*0.09,0)</f>
        <v>15668</v>
      </c>
      <c r="I127" s="115">
        <f t="shared" si="110"/>
        <v>348.17</v>
      </c>
      <c r="J127" s="116">
        <f>ROUND(G127*0.5*0.6*21/10000,2)</f>
        <v>109.67</v>
      </c>
      <c r="K127" s="117">
        <f>ROUND((H127+F127)*0.4*10/10000,2)</f>
        <v>12.53</v>
      </c>
      <c r="L127" s="118">
        <v>60</v>
      </c>
      <c r="M127" s="118">
        <f t="shared" si="111"/>
        <v>530.37</v>
      </c>
      <c r="N127" s="41">
        <f t="shared" si="112"/>
        <v>348.17</v>
      </c>
      <c r="O127" s="117">
        <f t="shared" si="113"/>
        <v>49.74</v>
      </c>
      <c r="P127" s="117">
        <f t="shared" si="114"/>
        <v>99.48</v>
      </c>
      <c r="Q127" s="117">
        <f t="shared" si="115"/>
        <v>198.95</v>
      </c>
    </row>
    <row r="128" s="1" customFormat="1" ht="18" customHeight="1" spans="1:17">
      <c r="A128" s="10">
        <v>445322</v>
      </c>
      <c r="B128" s="10" t="s">
        <v>139</v>
      </c>
      <c r="C128" s="120">
        <v>0.85</v>
      </c>
      <c r="D128" s="10" t="s">
        <v>142</v>
      </c>
      <c r="E128" s="46">
        <v>217762</v>
      </c>
      <c r="F128" s="46">
        <v>16410</v>
      </c>
      <c r="G128" s="110">
        <f>ROUND(E128*0.7-F128,0)</f>
        <v>136023</v>
      </c>
      <c r="H128" s="110">
        <f>ROUND(G128*0.09,0)</f>
        <v>12242</v>
      </c>
      <c r="I128" s="115">
        <f t="shared" si="110"/>
        <v>272.05</v>
      </c>
      <c r="J128" s="116">
        <f>ROUND(G128*0.5*0.6*21/10000,2)</f>
        <v>85.69</v>
      </c>
      <c r="K128" s="117">
        <f>ROUND((H128+F128)*0.4*10/10000,2)</f>
        <v>11.46</v>
      </c>
      <c r="L128" s="118">
        <v>60</v>
      </c>
      <c r="M128" s="118">
        <f t="shared" si="111"/>
        <v>429.2</v>
      </c>
      <c r="N128" s="41">
        <f t="shared" si="112"/>
        <v>272.05</v>
      </c>
      <c r="O128" s="117">
        <f t="shared" si="113"/>
        <v>38.86</v>
      </c>
      <c r="P128" s="117">
        <f t="shared" si="114"/>
        <v>77.73</v>
      </c>
      <c r="Q128" s="117">
        <f t="shared" si="115"/>
        <v>155.46</v>
      </c>
    </row>
    <row r="129" s="1" customFormat="1" ht="18" customHeight="1" spans="1:17">
      <c r="A129" s="10">
        <v>445381</v>
      </c>
      <c r="B129" s="10" t="s">
        <v>139</v>
      </c>
      <c r="C129" s="120">
        <v>0.85</v>
      </c>
      <c r="D129" s="10" t="s">
        <v>143</v>
      </c>
      <c r="E129" s="46">
        <v>453273</v>
      </c>
      <c r="F129" s="46">
        <v>36570</v>
      </c>
      <c r="G129" s="110">
        <f>ROUND(E129*0.7-F129,0)</f>
        <v>280721</v>
      </c>
      <c r="H129" s="110">
        <f>ROUND(G129*0.09,0)</f>
        <v>25265</v>
      </c>
      <c r="I129" s="115">
        <f t="shared" si="110"/>
        <v>561.44</v>
      </c>
      <c r="J129" s="116">
        <f>ROUND(G129*0.5*0.6*21/10000,2)</f>
        <v>176.85</v>
      </c>
      <c r="K129" s="117">
        <f>ROUND((H129+F129)*0.4*10/10000,2)</f>
        <v>24.73</v>
      </c>
      <c r="L129" s="118">
        <v>60</v>
      </c>
      <c r="M129" s="118">
        <f t="shared" si="111"/>
        <v>823.02</v>
      </c>
      <c r="N129" s="41">
        <f t="shared" si="112"/>
        <v>561.44</v>
      </c>
      <c r="O129" s="117">
        <f t="shared" si="113"/>
        <v>80.21</v>
      </c>
      <c r="P129" s="117">
        <f t="shared" si="114"/>
        <v>160.41</v>
      </c>
      <c r="Q129" s="117">
        <f t="shared" si="115"/>
        <v>320.82</v>
      </c>
    </row>
    <row r="130" s="1" customFormat="1" spans="3:14">
      <c r="C130" s="104"/>
      <c r="E130" s="76"/>
      <c r="F130" s="76"/>
      <c r="G130" s="76"/>
      <c r="H130" s="76"/>
      <c r="I130" s="104"/>
      <c r="J130" s="104"/>
      <c r="K130" s="104"/>
      <c r="L130" s="104"/>
      <c r="M130" s="104"/>
      <c r="N130" s="104"/>
    </row>
    <row r="131" s="1" customFormat="1" ht="116" customHeight="1" spans="3:17">
      <c r="C131" s="111"/>
      <c r="D131" s="111" t="s">
        <v>160</v>
      </c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="1" customFormat="1" ht="16" customHeight="1" spans="3:14">
      <c r="C132" s="112"/>
      <c r="D132" s="113"/>
      <c r="E132" s="113"/>
      <c r="F132" s="113"/>
      <c r="G132" s="113"/>
      <c r="H132" s="113"/>
      <c r="I132" s="112"/>
      <c r="J132" s="112"/>
      <c r="K132" s="112"/>
      <c r="L132" s="112"/>
      <c r="M132" s="112"/>
      <c r="N132" s="112"/>
    </row>
    <row r="133" s="1" customFormat="1" ht="16" customHeight="1" spans="3:14">
      <c r="C133" s="112"/>
      <c r="D133" s="113"/>
      <c r="E133" s="113"/>
      <c r="F133" s="113"/>
      <c r="G133" s="113"/>
      <c r="H133" s="113"/>
      <c r="I133" s="112"/>
      <c r="J133" s="112"/>
      <c r="K133" s="112"/>
      <c r="L133" s="112"/>
      <c r="M133" s="112"/>
      <c r="N133" s="112"/>
    </row>
    <row r="134" s="1" customFormat="1" ht="16" customHeight="1" spans="3:14">
      <c r="C134" s="112"/>
      <c r="D134" s="113"/>
      <c r="E134" s="113"/>
      <c r="F134" s="113"/>
      <c r="G134" s="113"/>
      <c r="H134" s="113"/>
      <c r="I134" s="112"/>
      <c r="J134" s="112"/>
      <c r="K134" s="112"/>
      <c r="L134" s="112"/>
      <c r="M134" s="112"/>
      <c r="N134" s="112"/>
    </row>
    <row r="135" s="1" customFormat="1" ht="16" customHeight="1" spans="3:14">
      <c r="C135" s="112"/>
      <c r="D135" s="113"/>
      <c r="E135" s="113"/>
      <c r="F135" s="113"/>
      <c r="G135" s="113"/>
      <c r="H135" s="113"/>
      <c r="I135" s="112"/>
      <c r="J135" s="112"/>
      <c r="K135" s="112"/>
      <c r="L135" s="112"/>
      <c r="M135" s="112"/>
      <c r="N135" s="112"/>
    </row>
    <row r="136" s="1" customFormat="1" ht="16" customHeight="1" spans="3:14">
      <c r="C136" s="112"/>
      <c r="D136" s="113"/>
      <c r="E136" s="113"/>
      <c r="F136" s="113"/>
      <c r="G136" s="113"/>
      <c r="H136" s="113"/>
      <c r="I136" s="112"/>
      <c r="J136" s="112"/>
      <c r="K136" s="112"/>
      <c r="L136" s="112"/>
      <c r="M136" s="112"/>
      <c r="N136" s="112"/>
    </row>
    <row r="137" s="1" customFormat="1" ht="16" customHeight="1" spans="3:14">
      <c r="C137" s="112"/>
      <c r="D137" s="113"/>
      <c r="E137" s="113"/>
      <c r="F137" s="113"/>
      <c r="G137" s="113"/>
      <c r="H137" s="113"/>
      <c r="I137" s="112"/>
      <c r="J137" s="112"/>
      <c r="K137" s="112"/>
      <c r="L137" s="112"/>
      <c r="M137" s="112"/>
      <c r="N137" s="112"/>
    </row>
    <row r="138" s="1" customFormat="1" ht="16" customHeight="1" spans="3:14">
      <c r="C138" s="112"/>
      <c r="D138" s="113"/>
      <c r="E138" s="113"/>
      <c r="F138" s="113"/>
      <c r="G138" s="113"/>
      <c r="H138" s="113"/>
      <c r="I138" s="112"/>
      <c r="J138" s="112"/>
      <c r="K138" s="112"/>
      <c r="L138" s="112"/>
      <c r="M138" s="112"/>
      <c r="N138" s="112"/>
    </row>
    <row r="139" s="1" customFormat="1" spans="3:14">
      <c r="C139" s="104"/>
      <c r="E139" s="76"/>
      <c r="F139" s="76"/>
      <c r="G139" s="76"/>
      <c r="H139" s="76"/>
      <c r="I139" s="104"/>
      <c r="J139" s="104"/>
      <c r="K139" s="104"/>
      <c r="L139" s="104"/>
      <c r="M139" s="104"/>
      <c r="N139" s="104"/>
    </row>
  </sheetData>
  <autoFilter ref="A3:S129">
    <extLst/>
  </autoFilter>
  <mergeCells count="3">
    <mergeCell ref="D1:Q1"/>
    <mergeCell ref="N2:Q2"/>
    <mergeCell ref="D131:Q13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"/>
  <sheetViews>
    <sheetView topLeftCell="H1" workbookViewId="0">
      <selection activeCell="J12" sqref="J12"/>
    </sheetView>
  </sheetViews>
  <sheetFormatPr defaultColWidth="9" defaultRowHeight="15"/>
  <cols>
    <col min="1" max="1" width="9" style="1" hidden="1" customWidth="1"/>
    <col min="2" max="2" width="9.50833333333333" style="1" hidden="1" customWidth="1"/>
    <col min="3" max="3" width="6.125" style="104" hidden="1" customWidth="1"/>
    <col min="4" max="4" width="20.875" style="1" customWidth="1"/>
    <col min="5" max="5" width="9.25833333333333" style="76" customWidth="1"/>
    <col min="6" max="6" width="11.75" style="76" hidden="1" customWidth="1"/>
    <col min="7" max="7" width="13.5083333333333" style="76" customWidth="1"/>
    <col min="8" max="8" width="13.875" style="76" customWidth="1"/>
    <col min="9" max="9" width="14.375" style="104" customWidth="1"/>
    <col min="10" max="11" width="16.875" style="104" customWidth="1"/>
    <col min="12" max="13" width="13.25" style="104" customWidth="1"/>
    <col min="14" max="14" width="12.25" style="104" customWidth="1"/>
    <col min="15" max="17" width="11.625" style="90" customWidth="1"/>
    <col min="19" max="19" width="9.375"/>
  </cols>
  <sheetData>
    <row r="1" s="1" customFormat="1" ht="29" customHeight="1" spans="3:17">
      <c r="C1" s="6"/>
      <c r="D1" s="6" t="s">
        <v>0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50" customHeight="1" spans="1:17">
      <c r="A2" s="105" t="s">
        <v>5</v>
      </c>
      <c r="B2" s="105" t="s">
        <v>6</v>
      </c>
      <c r="C2" s="13" t="s">
        <v>15</v>
      </c>
      <c r="D2" s="8" t="s">
        <v>1</v>
      </c>
      <c r="E2" s="8" t="s">
        <v>7</v>
      </c>
      <c r="F2" s="8" t="s">
        <v>8</v>
      </c>
      <c r="G2" s="8" t="s">
        <v>9</v>
      </c>
      <c r="H2" s="8" t="s">
        <v>150</v>
      </c>
      <c r="I2" s="13" t="s">
        <v>151</v>
      </c>
      <c r="J2" s="13" t="s">
        <v>12</v>
      </c>
      <c r="K2" s="13" t="s">
        <v>13</v>
      </c>
      <c r="L2" s="13" t="s">
        <v>152</v>
      </c>
      <c r="M2" s="13" t="s">
        <v>153</v>
      </c>
      <c r="N2" s="8" t="s">
        <v>154</v>
      </c>
      <c r="O2" s="8"/>
      <c r="P2" s="8"/>
      <c r="Q2" s="8"/>
    </row>
    <row r="3" s="75" customFormat="1" ht="43" customHeight="1" spans="1:17">
      <c r="A3" s="106"/>
      <c r="B3" s="106"/>
      <c r="C3" s="13" t="s">
        <v>34</v>
      </c>
      <c r="D3" s="8" t="s">
        <v>25</v>
      </c>
      <c r="E3" s="8" t="s">
        <v>26</v>
      </c>
      <c r="F3" s="8" t="s">
        <v>27</v>
      </c>
      <c r="G3" s="8" t="s">
        <v>191</v>
      </c>
      <c r="H3" s="8" t="s">
        <v>29</v>
      </c>
      <c r="I3" s="13" t="s">
        <v>30</v>
      </c>
      <c r="J3" s="13" t="s">
        <v>31</v>
      </c>
      <c r="K3" s="13" t="s">
        <v>155</v>
      </c>
      <c r="L3" s="13" t="s">
        <v>43</v>
      </c>
      <c r="M3" s="13" t="s">
        <v>156</v>
      </c>
      <c r="N3" s="13" t="s">
        <v>157</v>
      </c>
      <c r="O3" s="42" t="s">
        <v>146</v>
      </c>
      <c r="P3" s="42" t="s">
        <v>158</v>
      </c>
      <c r="Q3" s="42" t="s">
        <v>159</v>
      </c>
    </row>
    <row r="4" s="2" customFormat="1" ht="18" customHeight="1" spans="1:17">
      <c r="A4" s="15"/>
      <c r="B4" s="15"/>
      <c r="C4" s="107"/>
      <c r="D4" s="15" t="s">
        <v>55</v>
      </c>
      <c r="E4" s="108">
        <f>E5+E9+E16+E21+E24+E27+E29+E31+E37+E40+E43+E34</f>
        <v>13338549</v>
      </c>
      <c r="F4" s="108">
        <f t="shared" ref="F4:Q4" si="0">F5+F9+F16+F21+F24+F27+F29+F31+F37+F40+F43+F34</f>
        <v>0</v>
      </c>
      <c r="G4" s="108">
        <f t="shared" si="0"/>
        <v>9336987</v>
      </c>
      <c r="H4" s="108">
        <f t="shared" si="0"/>
        <v>840330</v>
      </c>
      <c r="I4" s="108">
        <f t="shared" si="0"/>
        <v>18673.96</v>
      </c>
      <c r="J4" s="108">
        <f t="shared" si="0"/>
        <v>5882.31</v>
      </c>
      <c r="K4" s="108">
        <f t="shared" si="0"/>
        <v>336.16</v>
      </c>
      <c r="L4" s="108">
        <f t="shared" si="0"/>
        <v>1740</v>
      </c>
      <c r="M4" s="108">
        <f t="shared" si="0"/>
        <v>26632.43</v>
      </c>
      <c r="N4" s="108">
        <f t="shared" si="0"/>
        <v>18673.96</v>
      </c>
      <c r="O4" s="108">
        <f t="shared" si="0"/>
        <v>2667.68</v>
      </c>
      <c r="P4" s="108">
        <f t="shared" si="0"/>
        <v>5335.43</v>
      </c>
      <c r="Q4" s="108">
        <f t="shared" si="0"/>
        <v>10670.85</v>
      </c>
    </row>
    <row r="5" s="4" customFormat="1" ht="18" customHeight="1" spans="1:17">
      <c r="A5" s="22">
        <v>440200</v>
      </c>
      <c r="B5" s="22" t="s">
        <v>56</v>
      </c>
      <c r="C5" s="107"/>
      <c r="D5" s="23" t="s">
        <v>57</v>
      </c>
      <c r="E5" s="108">
        <f t="shared" ref="E5:Q5" si="1">SUM(E6:E8)</f>
        <v>691825</v>
      </c>
      <c r="F5" s="108">
        <f t="shared" si="1"/>
        <v>0</v>
      </c>
      <c r="G5" s="108">
        <f t="shared" si="1"/>
        <v>484278</v>
      </c>
      <c r="H5" s="108">
        <f t="shared" si="1"/>
        <v>43584</v>
      </c>
      <c r="I5" s="114">
        <f t="shared" si="1"/>
        <v>968.55</v>
      </c>
      <c r="J5" s="107">
        <f t="shared" si="1"/>
        <v>305.09</v>
      </c>
      <c r="K5" s="114">
        <f t="shared" si="1"/>
        <v>17.44</v>
      </c>
      <c r="L5" s="114">
        <f t="shared" si="1"/>
        <v>180</v>
      </c>
      <c r="M5" s="114">
        <f t="shared" si="1"/>
        <v>1471.08</v>
      </c>
      <c r="N5" s="114">
        <f t="shared" si="1"/>
        <v>968.55</v>
      </c>
      <c r="O5" s="114">
        <f t="shared" si="1"/>
        <v>138.36</v>
      </c>
      <c r="P5" s="114">
        <f t="shared" si="1"/>
        <v>276.73</v>
      </c>
      <c r="Q5" s="114">
        <f t="shared" si="1"/>
        <v>553.46</v>
      </c>
    </row>
    <row r="6" s="4" customFormat="1" ht="18" customHeight="1" spans="1:17">
      <c r="A6" s="22"/>
      <c r="B6" s="22"/>
      <c r="C6" s="109" t="s">
        <v>161</v>
      </c>
      <c r="D6" s="45" t="s">
        <v>162</v>
      </c>
      <c r="E6" s="46">
        <v>245150</v>
      </c>
      <c r="F6" s="108"/>
      <c r="G6" s="110">
        <f>ROUND(E6*0.7-F6,0)</f>
        <v>171605</v>
      </c>
      <c r="H6" s="110">
        <f>ROUND(G6*0.09,0)</f>
        <v>15444</v>
      </c>
      <c r="I6" s="115">
        <f>ROUND(G6*20/10000,2)</f>
        <v>343.21</v>
      </c>
      <c r="J6" s="116">
        <f>ROUND(G6*0.5*0.6*21/10000,2)</f>
        <v>108.11</v>
      </c>
      <c r="K6" s="117">
        <f>ROUND((H6+F6)*0.4*10/10000,2)</f>
        <v>6.18</v>
      </c>
      <c r="L6" s="118">
        <v>60</v>
      </c>
      <c r="M6" s="118">
        <f>SUM(I6:L6)</f>
        <v>517.5</v>
      </c>
      <c r="N6" s="41">
        <f>I6</f>
        <v>343.21</v>
      </c>
      <c r="O6" s="117">
        <f>ROUND((E6-F6/0.7)*0.1*0.002,2)</f>
        <v>49.03</v>
      </c>
      <c r="P6" s="117">
        <f>ROUND((E6-F6/0.7)*0.2*0.002,2)</f>
        <v>98.06</v>
      </c>
      <c r="Q6" s="117">
        <f>N6-O6-P6</f>
        <v>196.12</v>
      </c>
    </row>
    <row r="7" s="4" customFormat="1" ht="18" customHeight="1" spans="1:17">
      <c r="A7" s="22"/>
      <c r="B7" s="22"/>
      <c r="C7" s="109" t="s">
        <v>161</v>
      </c>
      <c r="D7" s="45" t="s">
        <v>163</v>
      </c>
      <c r="E7" s="46">
        <v>253974</v>
      </c>
      <c r="F7" s="108"/>
      <c r="G7" s="110">
        <f>ROUND(E7*0.7-F7,0)</f>
        <v>177782</v>
      </c>
      <c r="H7" s="110">
        <f>ROUND(G7*0.09,0)</f>
        <v>16000</v>
      </c>
      <c r="I7" s="115">
        <f>ROUND(G7*20/10000,2)</f>
        <v>355.56</v>
      </c>
      <c r="J7" s="116">
        <f>ROUND(G7*0.5*0.6*21/10000,2)</f>
        <v>112</v>
      </c>
      <c r="K7" s="117">
        <f>ROUND((H7+F7)*0.4*10/10000,2)</f>
        <v>6.4</v>
      </c>
      <c r="L7" s="118">
        <v>60</v>
      </c>
      <c r="M7" s="118">
        <f>SUM(I7:L7)</f>
        <v>533.96</v>
      </c>
      <c r="N7" s="41">
        <f>I7</f>
        <v>355.56</v>
      </c>
      <c r="O7" s="117">
        <f>ROUND((E7-F7/0.7)*0.1*0.002,2)</f>
        <v>50.79</v>
      </c>
      <c r="P7" s="117">
        <f>ROUND((E7-F7/0.7)*0.2*0.002,2)</f>
        <v>101.59</v>
      </c>
      <c r="Q7" s="117">
        <f>N7-O7-P7</f>
        <v>203.18</v>
      </c>
    </row>
    <row r="8" s="4" customFormat="1" ht="18" customHeight="1" spans="1:17">
      <c r="A8" s="22"/>
      <c r="B8" s="22"/>
      <c r="C8" s="109" t="s">
        <v>161</v>
      </c>
      <c r="D8" s="45" t="s">
        <v>164</v>
      </c>
      <c r="E8" s="46">
        <v>192701</v>
      </c>
      <c r="F8" s="108"/>
      <c r="G8" s="110">
        <f>ROUND(E8*0.7-F8,0)</f>
        <v>134891</v>
      </c>
      <c r="H8" s="110">
        <f>ROUND(G8*0.09,0)</f>
        <v>12140</v>
      </c>
      <c r="I8" s="115">
        <f>ROUND(G8*20/10000,2)</f>
        <v>269.78</v>
      </c>
      <c r="J8" s="116">
        <f>ROUND(G8*0.5*0.6*21/10000,2)</f>
        <v>84.98</v>
      </c>
      <c r="K8" s="117">
        <f>ROUND((H8+F8)*0.4*10/10000,2)</f>
        <v>4.86</v>
      </c>
      <c r="L8" s="118">
        <v>60</v>
      </c>
      <c r="M8" s="118">
        <f>SUM(I8:L8)</f>
        <v>419.62</v>
      </c>
      <c r="N8" s="41">
        <f>I8</f>
        <v>269.78</v>
      </c>
      <c r="O8" s="117">
        <f>ROUND((E8-F8/0.7)*0.1*0.002,2)</f>
        <v>38.54</v>
      </c>
      <c r="P8" s="117">
        <f>ROUND((E8-F8/0.7)*0.2*0.002,2)</f>
        <v>77.08</v>
      </c>
      <c r="Q8" s="117">
        <f>N8-O8-P8</f>
        <v>154.16</v>
      </c>
    </row>
    <row r="9" s="4" customFormat="1" ht="18" customHeight="1" spans="1:17">
      <c r="A9" s="22">
        <v>440500</v>
      </c>
      <c r="B9" s="22" t="s">
        <v>66</v>
      </c>
      <c r="C9" s="107"/>
      <c r="D9" s="23" t="s">
        <v>67</v>
      </c>
      <c r="E9" s="108">
        <f t="shared" ref="E9:Q9" si="2">SUM(E10:E15)</f>
        <v>3559420</v>
      </c>
      <c r="F9" s="108">
        <f t="shared" si="2"/>
        <v>0</v>
      </c>
      <c r="G9" s="108">
        <f t="shared" si="2"/>
        <v>2491595</v>
      </c>
      <c r="H9" s="108">
        <f t="shared" si="2"/>
        <v>224244</v>
      </c>
      <c r="I9" s="114">
        <f t="shared" si="2"/>
        <v>4983.19</v>
      </c>
      <c r="J9" s="107">
        <f t="shared" si="2"/>
        <v>1569.7</v>
      </c>
      <c r="K9" s="114">
        <f t="shared" si="2"/>
        <v>89.7</v>
      </c>
      <c r="L9" s="114">
        <f t="shared" si="2"/>
        <v>360</v>
      </c>
      <c r="M9" s="114">
        <f t="shared" si="2"/>
        <v>7002.59</v>
      </c>
      <c r="N9" s="114">
        <f t="shared" si="2"/>
        <v>4983.19</v>
      </c>
      <c r="O9" s="114">
        <f t="shared" si="2"/>
        <v>711.88</v>
      </c>
      <c r="P9" s="114">
        <f t="shared" si="2"/>
        <v>1423.77</v>
      </c>
      <c r="Q9" s="114">
        <f t="shared" si="2"/>
        <v>2847.54</v>
      </c>
    </row>
    <row r="10" s="4" customFormat="1" ht="18" customHeight="1" spans="1:17">
      <c r="A10" s="22"/>
      <c r="B10" s="22"/>
      <c r="C10" s="109" t="s">
        <v>161</v>
      </c>
      <c r="D10" s="45" t="s">
        <v>165</v>
      </c>
      <c r="E10" s="46">
        <v>551138</v>
      </c>
      <c r="F10" s="108"/>
      <c r="G10" s="110">
        <f t="shared" ref="G10:G16" si="3">ROUND(E10*0.7-F10,0)</f>
        <v>385797</v>
      </c>
      <c r="H10" s="110">
        <f t="shared" ref="H10:H16" si="4">ROUND(G10*0.09,0)</f>
        <v>34722</v>
      </c>
      <c r="I10" s="115">
        <f t="shared" ref="I10:I16" si="5">ROUND(G10*20/10000,2)</f>
        <v>771.59</v>
      </c>
      <c r="J10" s="116">
        <f t="shared" ref="J10:J16" si="6">ROUND(G10*0.5*0.6*21/10000,2)</f>
        <v>243.05</v>
      </c>
      <c r="K10" s="117">
        <f t="shared" ref="K10:K16" si="7">ROUND((H10+F10)*0.4*10/10000,2)</f>
        <v>13.89</v>
      </c>
      <c r="L10" s="118">
        <v>60</v>
      </c>
      <c r="M10" s="118">
        <f t="shared" ref="M10:M16" si="8">SUM(I10:L10)</f>
        <v>1088.53</v>
      </c>
      <c r="N10" s="41">
        <f t="shared" ref="N10:N16" si="9">I10</f>
        <v>771.59</v>
      </c>
      <c r="O10" s="117">
        <f t="shared" ref="O10:O16" si="10">ROUND((E10-F10/0.7)*0.1*0.002,2)</f>
        <v>110.23</v>
      </c>
      <c r="P10" s="117">
        <f t="shared" ref="P10:P16" si="11">ROUND((E10-F10/0.7)*0.2*0.002,2)</f>
        <v>220.46</v>
      </c>
      <c r="Q10" s="117">
        <f t="shared" ref="Q10:Q16" si="12">N10-O10-P10</f>
        <v>440.9</v>
      </c>
    </row>
    <row r="11" s="4" customFormat="1" ht="18" customHeight="1" spans="1:17">
      <c r="A11" s="22"/>
      <c r="B11" s="22"/>
      <c r="C11" s="109" t="s">
        <v>161</v>
      </c>
      <c r="D11" s="45" t="s">
        <v>166</v>
      </c>
      <c r="E11" s="46">
        <v>446805</v>
      </c>
      <c r="F11" s="108"/>
      <c r="G11" s="110">
        <f t="shared" si="3"/>
        <v>312764</v>
      </c>
      <c r="H11" s="110">
        <f t="shared" si="4"/>
        <v>28149</v>
      </c>
      <c r="I11" s="115">
        <f t="shared" si="5"/>
        <v>625.53</v>
      </c>
      <c r="J11" s="116">
        <f t="shared" si="6"/>
        <v>197.04</v>
      </c>
      <c r="K11" s="117">
        <f t="shared" si="7"/>
        <v>11.26</v>
      </c>
      <c r="L11" s="118">
        <v>60</v>
      </c>
      <c r="M11" s="118">
        <f t="shared" si="8"/>
        <v>893.83</v>
      </c>
      <c r="N11" s="41">
        <f t="shared" si="9"/>
        <v>625.53</v>
      </c>
      <c r="O11" s="117">
        <f t="shared" si="10"/>
        <v>89.36</v>
      </c>
      <c r="P11" s="117">
        <f t="shared" si="11"/>
        <v>178.72</v>
      </c>
      <c r="Q11" s="117">
        <f t="shared" si="12"/>
        <v>357.45</v>
      </c>
    </row>
    <row r="12" s="4" customFormat="1" ht="18" customHeight="1" spans="1:17">
      <c r="A12" s="22"/>
      <c r="B12" s="22"/>
      <c r="C12" s="109" t="s">
        <v>161</v>
      </c>
      <c r="D12" s="45" t="s">
        <v>167</v>
      </c>
      <c r="E12" s="46">
        <v>620486</v>
      </c>
      <c r="F12" s="108"/>
      <c r="G12" s="110">
        <f t="shared" si="3"/>
        <v>434340</v>
      </c>
      <c r="H12" s="110">
        <f t="shared" si="4"/>
        <v>39091</v>
      </c>
      <c r="I12" s="115">
        <f t="shared" si="5"/>
        <v>868.68</v>
      </c>
      <c r="J12" s="116">
        <f t="shared" si="6"/>
        <v>273.63</v>
      </c>
      <c r="K12" s="117">
        <f t="shared" si="7"/>
        <v>15.64</v>
      </c>
      <c r="L12" s="118">
        <v>60</v>
      </c>
      <c r="M12" s="118">
        <f t="shared" si="8"/>
        <v>1217.95</v>
      </c>
      <c r="N12" s="41">
        <f t="shared" si="9"/>
        <v>868.68</v>
      </c>
      <c r="O12" s="117">
        <f t="shared" si="10"/>
        <v>124.1</v>
      </c>
      <c r="P12" s="117">
        <f t="shared" si="11"/>
        <v>248.19</v>
      </c>
      <c r="Q12" s="117">
        <f t="shared" si="12"/>
        <v>496.39</v>
      </c>
    </row>
    <row r="13" s="4" customFormat="1" ht="18" customHeight="1" spans="1:17">
      <c r="A13" s="22"/>
      <c r="B13" s="22"/>
      <c r="C13" s="109" t="s">
        <v>161</v>
      </c>
      <c r="D13" s="45" t="s">
        <v>168</v>
      </c>
      <c r="E13" s="46">
        <v>170665</v>
      </c>
      <c r="F13" s="108"/>
      <c r="G13" s="110">
        <f t="shared" si="3"/>
        <v>119466</v>
      </c>
      <c r="H13" s="110">
        <f t="shared" si="4"/>
        <v>10752</v>
      </c>
      <c r="I13" s="115">
        <f t="shared" si="5"/>
        <v>238.93</v>
      </c>
      <c r="J13" s="116">
        <f t="shared" si="6"/>
        <v>75.26</v>
      </c>
      <c r="K13" s="117">
        <f t="shared" si="7"/>
        <v>4.3</v>
      </c>
      <c r="L13" s="118">
        <v>60</v>
      </c>
      <c r="M13" s="118">
        <f t="shared" si="8"/>
        <v>378.49</v>
      </c>
      <c r="N13" s="41">
        <f t="shared" si="9"/>
        <v>238.93</v>
      </c>
      <c r="O13" s="117">
        <f t="shared" si="10"/>
        <v>34.13</v>
      </c>
      <c r="P13" s="117">
        <f t="shared" si="11"/>
        <v>68.27</v>
      </c>
      <c r="Q13" s="117">
        <f t="shared" si="12"/>
        <v>136.53</v>
      </c>
    </row>
    <row r="14" s="4" customFormat="1" ht="18" customHeight="1" spans="1:17">
      <c r="A14" s="22"/>
      <c r="B14" s="22"/>
      <c r="C14" s="109" t="s">
        <v>161</v>
      </c>
      <c r="D14" s="45" t="s">
        <v>169</v>
      </c>
      <c r="E14" s="46">
        <v>1025369</v>
      </c>
      <c r="F14" s="108"/>
      <c r="G14" s="110">
        <f t="shared" si="3"/>
        <v>717758</v>
      </c>
      <c r="H14" s="110">
        <f t="shared" si="4"/>
        <v>64598</v>
      </c>
      <c r="I14" s="115">
        <f t="shared" si="5"/>
        <v>1435.52</v>
      </c>
      <c r="J14" s="116">
        <f t="shared" si="6"/>
        <v>452.19</v>
      </c>
      <c r="K14" s="117">
        <f t="shared" si="7"/>
        <v>25.84</v>
      </c>
      <c r="L14" s="118">
        <v>60</v>
      </c>
      <c r="M14" s="118">
        <f t="shared" si="8"/>
        <v>1973.55</v>
      </c>
      <c r="N14" s="41">
        <f t="shared" si="9"/>
        <v>1435.52</v>
      </c>
      <c r="O14" s="117">
        <f t="shared" si="10"/>
        <v>205.07</v>
      </c>
      <c r="P14" s="117">
        <f t="shared" si="11"/>
        <v>410.15</v>
      </c>
      <c r="Q14" s="117">
        <f t="shared" si="12"/>
        <v>820.3</v>
      </c>
    </row>
    <row r="15" s="4" customFormat="1" ht="18" customHeight="1" spans="1:17">
      <c r="A15" s="22"/>
      <c r="B15" s="22"/>
      <c r="C15" s="109" t="s">
        <v>161</v>
      </c>
      <c r="D15" s="45" t="s">
        <v>170</v>
      </c>
      <c r="E15" s="46">
        <v>744957</v>
      </c>
      <c r="F15" s="108"/>
      <c r="G15" s="110">
        <f t="shared" si="3"/>
        <v>521470</v>
      </c>
      <c r="H15" s="110">
        <f t="shared" si="4"/>
        <v>46932</v>
      </c>
      <c r="I15" s="115">
        <f t="shared" si="5"/>
        <v>1042.94</v>
      </c>
      <c r="J15" s="116">
        <f t="shared" si="6"/>
        <v>328.53</v>
      </c>
      <c r="K15" s="117">
        <f t="shared" si="7"/>
        <v>18.77</v>
      </c>
      <c r="L15" s="118">
        <v>60</v>
      </c>
      <c r="M15" s="118">
        <f t="shared" si="8"/>
        <v>1450.24</v>
      </c>
      <c r="N15" s="41">
        <f t="shared" si="9"/>
        <v>1042.94</v>
      </c>
      <c r="O15" s="117">
        <f t="shared" si="10"/>
        <v>148.99</v>
      </c>
      <c r="P15" s="117">
        <f t="shared" si="11"/>
        <v>297.98</v>
      </c>
      <c r="Q15" s="117">
        <f t="shared" si="12"/>
        <v>595.97</v>
      </c>
    </row>
    <row r="16" s="4" customFormat="1" ht="18" customHeight="1" spans="1:17">
      <c r="A16" s="22">
        <v>440800</v>
      </c>
      <c r="B16" s="22" t="s">
        <v>75</v>
      </c>
      <c r="C16" s="107"/>
      <c r="D16" s="23" t="s">
        <v>76</v>
      </c>
      <c r="E16" s="108">
        <f t="shared" ref="E16:Q16" si="13">SUM(E17:E20)</f>
        <v>1239089</v>
      </c>
      <c r="F16" s="108">
        <f t="shared" si="13"/>
        <v>0</v>
      </c>
      <c r="G16" s="108">
        <f t="shared" si="13"/>
        <v>867362</v>
      </c>
      <c r="H16" s="108">
        <f t="shared" si="13"/>
        <v>78063</v>
      </c>
      <c r="I16" s="114">
        <f t="shared" si="13"/>
        <v>1734.72</v>
      </c>
      <c r="J16" s="107">
        <f t="shared" si="13"/>
        <v>546.45</v>
      </c>
      <c r="K16" s="114">
        <f t="shared" si="13"/>
        <v>31.23</v>
      </c>
      <c r="L16" s="114">
        <f t="shared" si="13"/>
        <v>240</v>
      </c>
      <c r="M16" s="114">
        <f t="shared" si="13"/>
        <v>2552.4</v>
      </c>
      <c r="N16" s="114">
        <f t="shared" si="13"/>
        <v>1734.72</v>
      </c>
      <c r="O16" s="114">
        <f t="shared" si="13"/>
        <v>247.81</v>
      </c>
      <c r="P16" s="114">
        <f t="shared" si="13"/>
        <v>495.64</v>
      </c>
      <c r="Q16" s="114">
        <f t="shared" si="13"/>
        <v>991.27</v>
      </c>
    </row>
    <row r="17" s="4" customFormat="1" ht="18" customHeight="1" spans="1:17">
      <c r="A17" s="22"/>
      <c r="B17" s="22"/>
      <c r="C17" s="109" t="s">
        <v>161</v>
      </c>
      <c r="D17" s="45" t="s">
        <v>171</v>
      </c>
      <c r="E17" s="46">
        <v>275596</v>
      </c>
      <c r="F17" s="108"/>
      <c r="G17" s="110">
        <f>ROUND(E17*0.7-F17,0)</f>
        <v>192917</v>
      </c>
      <c r="H17" s="110">
        <f>ROUND(G17*0.09,0)</f>
        <v>17363</v>
      </c>
      <c r="I17" s="115">
        <f>ROUND(G17*20/10000,2)</f>
        <v>385.83</v>
      </c>
      <c r="J17" s="116">
        <f>ROUND(G17*0.5*0.6*21/10000,2)</f>
        <v>121.54</v>
      </c>
      <c r="K17" s="117">
        <f>ROUND((H17+F17)*0.4*10/10000,2)</f>
        <v>6.95</v>
      </c>
      <c r="L17" s="118">
        <v>60</v>
      </c>
      <c r="M17" s="118">
        <f>SUM(I17:L17)</f>
        <v>574.32</v>
      </c>
      <c r="N17" s="41">
        <f>I17</f>
        <v>385.83</v>
      </c>
      <c r="O17" s="117">
        <f>ROUND((E17-F17/0.7)*0.1*0.002,2)</f>
        <v>55.12</v>
      </c>
      <c r="P17" s="117">
        <f>ROUND((E17-F17/0.7)*0.2*0.002,2)</f>
        <v>110.24</v>
      </c>
      <c r="Q17" s="117">
        <f>N17-O17-P17</f>
        <v>220.47</v>
      </c>
    </row>
    <row r="18" s="4" customFormat="1" ht="18" customHeight="1" spans="1:17">
      <c r="A18" s="22"/>
      <c r="B18" s="22"/>
      <c r="C18" s="109" t="s">
        <v>161</v>
      </c>
      <c r="D18" s="45" t="s">
        <v>172</v>
      </c>
      <c r="E18" s="46">
        <v>431264</v>
      </c>
      <c r="F18" s="108"/>
      <c r="G18" s="110">
        <f>ROUND(E18*0.7-F18,0)</f>
        <v>301885</v>
      </c>
      <c r="H18" s="110">
        <f>ROUND(G18*0.09,0)</f>
        <v>27170</v>
      </c>
      <c r="I18" s="115">
        <f>ROUND(G18*20/10000,2)</f>
        <v>603.77</v>
      </c>
      <c r="J18" s="116">
        <f>ROUND(G18*0.5*0.6*21/10000,2)</f>
        <v>190.19</v>
      </c>
      <c r="K18" s="117">
        <f>ROUND((H18+F18)*0.4*10/10000,2)</f>
        <v>10.87</v>
      </c>
      <c r="L18" s="118">
        <v>60</v>
      </c>
      <c r="M18" s="118">
        <f>SUM(I18:L18)</f>
        <v>864.83</v>
      </c>
      <c r="N18" s="41">
        <f>I18</f>
        <v>603.77</v>
      </c>
      <c r="O18" s="117">
        <f>ROUND((E18-F18/0.7)*0.1*0.002,2)</f>
        <v>86.25</v>
      </c>
      <c r="P18" s="117">
        <f>ROUND((E18-F18/0.7)*0.2*0.002,2)</f>
        <v>172.51</v>
      </c>
      <c r="Q18" s="117">
        <f>N18-O18-P18</f>
        <v>345.01</v>
      </c>
    </row>
    <row r="19" s="4" customFormat="1" ht="18" customHeight="1" spans="1:17">
      <c r="A19" s="22"/>
      <c r="B19" s="22"/>
      <c r="C19" s="109" t="s">
        <v>161</v>
      </c>
      <c r="D19" s="45" t="s">
        <v>173</v>
      </c>
      <c r="E19" s="46">
        <v>212622</v>
      </c>
      <c r="F19" s="108"/>
      <c r="G19" s="110">
        <f>ROUND(E19*0.7-F19,0)</f>
        <v>148835</v>
      </c>
      <c r="H19" s="110">
        <f>ROUND(G19*0.09,0)</f>
        <v>13395</v>
      </c>
      <c r="I19" s="115">
        <f>ROUND(G19*20/10000,2)</f>
        <v>297.67</v>
      </c>
      <c r="J19" s="116">
        <f>ROUND(G19*0.5*0.6*21/10000,2)</f>
        <v>93.77</v>
      </c>
      <c r="K19" s="117">
        <f>ROUND((H19+F19)*0.4*10/10000,2)</f>
        <v>5.36</v>
      </c>
      <c r="L19" s="118">
        <v>60</v>
      </c>
      <c r="M19" s="118">
        <f>SUM(I19:L19)</f>
        <v>456.8</v>
      </c>
      <c r="N19" s="41">
        <f>I19</f>
        <v>297.67</v>
      </c>
      <c r="O19" s="117">
        <f>ROUND((E19-F19/0.7)*0.1*0.002,2)</f>
        <v>42.52</v>
      </c>
      <c r="P19" s="117">
        <f>ROUND((E19-F19/0.7)*0.2*0.002,2)</f>
        <v>85.05</v>
      </c>
      <c r="Q19" s="117">
        <f>N19-O19-P19</f>
        <v>170.1</v>
      </c>
    </row>
    <row r="20" s="4" customFormat="1" ht="18" customHeight="1" spans="1:17">
      <c r="A20" s="22"/>
      <c r="B20" s="22"/>
      <c r="C20" s="109" t="s">
        <v>161</v>
      </c>
      <c r="D20" s="45" t="s">
        <v>174</v>
      </c>
      <c r="E20" s="46">
        <v>319607</v>
      </c>
      <c r="F20" s="108"/>
      <c r="G20" s="110">
        <f>ROUND(E20*0.7-F20,0)</f>
        <v>223725</v>
      </c>
      <c r="H20" s="110">
        <f>ROUND(G20*0.09,0)</f>
        <v>20135</v>
      </c>
      <c r="I20" s="115">
        <f>ROUND(G20*20/10000,2)</f>
        <v>447.45</v>
      </c>
      <c r="J20" s="116">
        <f>ROUND(G20*0.5*0.6*21/10000,2)</f>
        <v>140.95</v>
      </c>
      <c r="K20" s="117">
        <f>ROUND((H20+F20)*0.4*10/10000,2)</f>
        <v>8.05</v>
      </c>
      <c r="L20" s="118">
        <v>60</v>
      </c>
      <c r="M20" s="118">
        <f>SUM(I20:L20)</f>
        <v>656.45</v>
      </c>
      <c r="N20" s="41">
        <f>I20</f>
        <v>447.45</v>
      </c>
      <c r="O20" s="117">
        <f>ROUND((E20-F20/0.7)*0.1*0.002,2)</f>
        <v>63.92</v>
      </c>
      <c r="P20" s="117">
        <f>ROUND((E20-F20/0.7)*0.2*0.002,2)</f>
        <v>127.84</v>
      </c>
      <c r="Q20" s="117">
        <f>N20-O20-P20</f>
        <v>255.69</v>
      </c>
    </row>
    <row r="21" s="4" customFormat="1" ht="18" customHeight="1" spans="1:17">
      <c r="A21" s="22">
        <v>440900</v>
      </c>
      <c r="B21" s="22" t="s">
        <v>82</v>
      </c>
      <c r="C21" s="107"/>
      <c r="D21" s="23" t="s">
        <v>83</v>
      </c>
      <c r="E21" s="108">
        <f t="shared" ref="E21:Q21" si="14">SUM(E22:E23)</f>
        <v>1544022</v>
      </c>
      <c r="F21" s="108">
        <f t="shared" si="14"/>
        <v>0</v>
      </c>
      <c r="G21" s="108">
        <f t="shared" si="14"/>
        <v>1080815</v>
      </c>
      <c r="H21" s="108">
        <f t="shared" si="14"/>
        <v>97274</v>
      </c>
      <c r="I21" s="114">
        <f t="shared" si="14"/>
        <v>2161.63</v>
      </c>
      <c r="J21" s="107">
        <f t="shared" si="14"/>
        <v>680.91</v>
      </c>
      <c r="K21" s="114">
        <f t="shared" si="14"/>
        <v>38.91</v>
      </c>
      <c r="L21" s="114">
        <f t="shared" si="14"/>
        <v>120</v>
      </c>
      <c r="M21" s="114">
        <f t="shared" si="14"/>
        <v>3001.45</v>
      </c>
      <c r="N21" s="114">
        <f t="shared" si="14"/>
        <v>2161.63</v>
      </c>
      <c r="O21" s="114">
        <f t="shared" si="14"/>
        <v>308.8</v>
      </c>
      <c r="P21" s="114">
        <f t="shared" si="14"/>
        <v>617.61</v>
      </c>
      <c r="Q21" s="114">
        <f t="shared" si="14"/>
        <v>1235.22</v>
      </c>
    </row>
    <row r="22" s="4" customFormat="1" ht="18" customHeight="1" spans="1:17">
      <c r="A22" s="22"/>
      <c r="B22" s="22"/>
      <c r="C22" s="109" t="s">
        <v>161</v>
      </c>
      <c r="D22" s="45" t="s">
        <v>175</v>
      </c>
      <c r="E22" s="46">
        <v>650822</v>
      </c>
      <c r="F22" s="108"/>
      <c r="G22" s="110">
        <f>ROUND(E22*0.7-F22,0)</f>
        <v>455575</v>
      </c>
      <c r="H22" s="110">
        <f>ROUND(G22*0.09,0)</f>
        <v>41002</v>
      </c>
      <c r="I22" s="115">
        <f>ROUND(G22*20/10000,2)</f>
        <v>911.15</v>
      </c>
      <c r="J22" s="116">
        <f>ROUND(G22*0.5*0.6*21/10000,2)</f>
        <v>287.01</v>
      </c>
      <c r="K22" s="117">
        <f>ROUND((H22+F22)*0.4*10/10000,2)</f>
        <v>16.4</v>
      </c>
      <c r="L22" s="118">
        <v>60</v>
      </c>
      <c r="M22" s="118">
        <f>SUM(I22:L22)</f>
        <v>1274.56</v>
      </c>
      <c r="N22" s="41">
        <f>I22</f>
        <v>911.15</v>
      </c>
      <c r="O22" s="117">
        <f>ROUND((E22-F22/0.7)*0.1*0.002,2)</f>
        <v>130.16</v>
      </c>
      <c r="P22" s="117">
        <f>ROUND((E22-F22/0.7)*0.2*0.002,2)</f>
        <v>260.33</v>
      </c>
      <c r="Q22" s="117">
        <f>N22-O22-P22</f>
        <v>520.66</v>
      </c>
    </row>
    <row r="23" s="4" customFormat="1" ht="18" customHeight="1" spans="1:17">
      <c r="A23" s="22"/>
      <c r="B23" s="22"/>
      <c r="C23" s="109" t="s">
        <v>161</v>
      </c>
      <c r="D23" s="45" t="s">
        <v>176</v>
      </c>
      <c r="E23" s="46">
        <v>893200</v>
      </c>
      <c r="F23" s="108"/>
      <c r="G23" s="110">
        <f>ROUND(E23*0.7-F23,0)</f>
        <v>625240</v>
      </c>
      <c r="H23" s="110">
        <f>ROUND(G23*0.09,0)</f>
        <v>56272</v>
      </c>
      <c r="I23" s="115">
        <f>ROUND(G23*20/10000,2)</f>
        <v>1250.48</v>
      </c>
      <c r="J23" s="116">
        <f>ROUND(G23*0.5*0.6*21/10000,2)</f>
        <v>393.9</v>
      </c>
      <c r="K23" s="117">
        <f>ROUND((H23+F23)*0.4*10/10000,2)</f>
        <v>22.51</v>
      </c>
      <c r="L23" s="118">
        <v>60</v>
      </c>
      <c r="M23" s="118">
        <f>SUM(I23:L23)</f>
        <v>1726.89</v>
      </c>
      <c r="N23" s="41">
        <f>I23</f>
        <v>1250.48</v>
      </c>
      <c r="O23" s="117">
        <f>ROUND((E23-F23/0.7)*0.1*0.002,2)</f>
        <v>178.64</v>
      </c>
      <c r="P23" s="117">
        <f>ROUND((E23-F23/0.7)*0.2*0.002,2)</f>
        <v>357.28</v>
      </c>
      <c r="Q23" s="117">
        <f>N23-O23-P23</f>
        <v>714.56</v>
      </c>
    </row>
    <row r="24" s="4" customFormat="1" ht="18" customHeight="1" spans="1:17">
      <c r="A24" s="22">
        <v>441400</v>
      </c>
      <c r="B24" s="22" t="s">
        <v>99</v>
      </c>
      <c r="C24" s="107"/>
      <c r="D24" s="23" t="s">
        <v>100</v>
      </c>
      <c r="E24" s="108">
        <f t="shared" ref="E24:Q24" si="15">SUM(E25:E26)</f>
        <v>660903</v>
      </c>
      <c r="F24" s="108">
        <f t="shared" si="15"/>
        <v>0</v>
      </c>
      <c r="G24" s="108">
        <f t="shared" si="15"/>
        <v>462633</v>
      </c>
      <c r="H24" s="108">
        <f t="shared" si="15"/>
        <v>41637</v>
      </c>
      <c r="I24" s="114">
        <f t="shared" si="15"/>
        <v>925.27</v>
      </c>
      <c r="J24" s="107">
        <f t="shared" si="15"/>
        <v>291.46</v>
      </c>
      <c r="K24" s="114">
        <f t="shared" si="15"/>
        <v>16.66</v>
      </c>
      <c r="L24" s="114">
        <f t="shared" si="15"/>
        <v>120</v>
      </c>
      <c r="M24" s="114">
        <f t="shared" si="15"/>
        <v>1353.39</v>
      </c>
      <c r="N24" s="114">
        <f t="shared" si="15"/>
        <v>925.27</v>
      </c>
      <c r="O24" s="114">
        <f t="shared" si="15"/>
        <v>132.18</v>
      </c>
      <c r="P24" s="114">
        <f t="shared" si="15"/>
        <v>264.36</v>
      </c>
      <c r="Q24" s="114">
        <f t="shared" si="15"/>
        <v>528.73</v>
      </c>
    </row>
    <row r="25" s="4" customFormat="1" ht="18" customHeight="1" spans="1:17">
      <c r="A25" s="22"/>
      <c r="B25" s="22"/>
      <c r="C25" s="109" t="s">
        <v>161</v>
      </c>
      <c r="D25" s="45" t="s">
        <v>177</v>
      </c>
      <c r="E25" s="46">
        <v>290798</v>
      </c>
      <c r="F25" s="108"/>
      <c r="G25" s="110">
        <f>ROUND(E25*0.7-F25,0)</f>
        <v>203559</v>
      </c>
      <c r="H25" s="110">
        <f>ROUND(G25*0.09,0)</f>
        <v>18320</v>
      </c>
      <c r="I25" s="115">
        <f>ROUND(G25*20/10000,2)</f>
        <v>407.12</v>
      </c>
      <c r="J25" s="116">
        <f>ROUND(G25*0.5*0.6*21/10000,2)</f>
        <v>128.24</v>
      </c>
      <c r="K25" s="117">
        <f>ROUND((H25+F25)*0.4*10/10000,2)</f>
        <v>7.33</v>
      </c>
      <c r="L25" s="118">
        <v>60</v>
      </c>
      <c r="M25" s="118">
        <f>SUM(I25:L25)</f>
        <v>602.69</v>
      </c>
      <c r="N25" s="41">
        <f>I25</f>
        <v>407.12</v>
      </c>
      <c r="O25" s="117">
        <f>ROUND((E25-F25/0.7)*0.1*0.002,2)</f>
        <v>58.16</v>
      </c>
      <c r="P25" s="117">
        <f>ROUND((E25-F25/0.7)*0.2*0.002,2)</f>
        <v>116.32</v>
      </c>
      <c r="Q25" s="117">
        <f>N25-O25-P25</f>
        <v>232.64</v>
      </c>
    </row>
    <row r="26" s="4" customFormat="1" ht="18" customHeight="1" spans="1:17">
      <c r="A26" s="22"/>
      <c r="B26" s="22"/>
      <c r="C26" s="109" t="s">
        <v>161</v>
      </c>
      <c r="D26" s="45" t="s">
        <v>178</v>
      </c>
      <c r="E26" s="46">
        <v>370105</v>
      </c>
      <c r="F26" s="108"/>
      <c r="G26" s="110">
        <f>ROUND(E26*0.7-F26,0)</f>
        <v>259074</v>
      </c>
      <c r="H26" s="110">
        <f>ROUND(G26*0.09,0)</f>
        <v>23317</v>
      </c>
      <c r="I26" s="115">
        <f>ROUND(G26*20/10000,2)</f>
        <v>518.15</v>
      </c>
      <c r="J26" s="116">
        <f>ROUND(G26*0.5*0.6*21/10000,2)</f>
        <v>163.22</v>
      </c>
      <c r="K26" s="117">
        <f>ROUND((H26+F26)*0.4*10/10000,2)</f>
        <v>9.33</v>
      </c>
      <c r="L26" s="118">
        <v>60</v>
      </c>
      <c r="M26" s="118">
        <f>SUM(I26:L26)</f>
        <v>750.7</v>
      </c>
      <c r="N26" s="41">
        <f>I26</f>
        <v>518.15</v>
      </c>
      <c r="O26" s="117">
        <f>ROUND((E26-F26/0.7)*0.1*0.002,2)</f>
        <v>74.02</v>
      </c>
      <c r="P26" s="117">
        <f>ROUND((E26-F26/0.7)*0.2*0.002,2)</f>
        <v>148.04</v>
      </c>
      <c r="Q26" s="117">
        <f>N26-O26-P26</f>
        <v>296.09</v>
      </c>
    </row>
    <row r="27" s="4" customFormat="1" ht="18" customHeight="1" spans="1:17">
      <c r="A27" s="22">
        <v>441500</v>
      </c>
      <c r="B27" s="22" t="s">
        <v>107</v>
      </c>
      <c r="C27" s="107"/>
      <c r="D27" s="23" t="s">
        <v>108</v>
      </c>
      <c r="E27" s="108">
        <f t="shared" ref="E27:Q27" si="16">SUM(E28:E28)</f>
        <v>300172</v>
      </c>
      <c r="F27" s="108">
        <f t="shared" si="16"/>
        <v>0</v>
      </c>
      <c r="G27" s="108">
        <f t="shared" si="16"/>
        <v>210120</v>
      </c>
      <c r="H27" s="108">
        <f t="shared" si="16"/>
        <v>18911</v>
      </c>
      <c r="I27" s="114">
        <f t="shared" si="16"/>
        <v>420.24</v>
      </c>
      <c r="J27" s="107">
        <f t="shared" si="16"/>
        <v>132.38</v>
      </c>
      <c r="K27" s="114">
        <f t="shared" si="16"/>
        <v>7.56</v>
      </c>
      <c r="L27" s="114">
        <f t="shared" si="16"/>
        <v>60</v>
      </c>
      <c r="M27" s="114">
        <f t="shared" si="16"/>
        <v>620.18</v>
      </c>
      <c r="N27" s="114">
        <f t="shared" si="16"/>
        <v>420.24</v>
      </c>
      <c r="O27" s="114">
        <f t="shared" si="16"/>
        <v>60.03</v>
      </c>
      <c r="P27" s="114">
        <f t="shared" si="16"/>
        <v>120.07</v>
      </c>
      <c r="Q27" s="114">
        <f t="shared" si="16"/>
        <v>240.14</v>
      </c>
    </row>
    <row r="28" s="4" customFormat="1" ht="18" customHeight="1" spans="1:17">
      <c r="A28" s="22"/>
      <c r="B28" s="22"/>
      <c r="C28" s="109" t="s">
        <v>161</v>
      </c>
      <c r="D28" s="45" t="s">
        <v>179</v>
      </c>
      <c r="E28" s="46">
        <v>300172</v>
      </c>
      <c r="F28" s="108"/>
      <c r="G28" s="110">
        <f>ROUND(E28*0.7-F28,0)</f>
        <v>210120</v>
      </c>
      <c r="H28" s="110">
        <f>ROUND(G28*0.09,0)</f>
        <v>18911</v>
      </c>
      <c r="I28" s="115">
        <f>ROUND(G28*20/10000,2)</f>
        <v>420.24</v>
      </c>
      <c r="J28" s="116">
        <f>ROUND(G28*0.5*0.6*21/10000,2)</f>
        <v>132.38</v>
      </c>
      <c r="K28" s="117">
        <f>ROUND((H28+F28)*0.4*10/10000,2)</f>
        <v>7.56</v>
      </c>
      <c r="L28" s="118">
        <v>60</v>
      </c>
      <c r="M28" s="118">
        <f>SUM(I28:L28)</f>
        <v>620.18</v>
      </c>
      <c r="N28" s="41">
        <f>I28</f>
        <v>420.24</v>
      </c>
      <c r="O28" s="117">
        <f>ROUND((E28-F28/0.7)*0.1*0.002,2)</f>
        <v>60.03</v>
      </c>
      <c r="P28" s="117">
        <f>ROUND((E28-F28/0.7)*0.2*0.002,2)</f>
        <v>120.07</v>
      </c>
      <c r="Q28" s="117">
        <f>N28-O28-P28</f>
        <v>240.14</v>
      </c>
    </row>
    <row r="29" s="4" customFormat="1" ht="18" customHeight="1" spans="1:17">
      <c r="A29" s="22">
        <v>441600</v>
      </c>
      <c r="B29" s="22" t="s">
        <v>112</v>
      </c>
      <c r="C29" s="107"/>
      <c r="D29" s="23" t="s">
        <v>113</v>
      </c>
      <c r="E29" s="108">
        <f t="shared" ref="E29:Q29" si="17">SUM(E30:E30)</f>
        <v>468130</v>
      </c>
      <c r="F29" s="108">
        <f t="shared" si="17"/>
        <v>0</v>
      </c>
      <c r="G29" s="108">
        <f t="shared" si="17"/>
        <v>327691</v>
      </c>
      <c r="H29" s="108">
        <f t="shared" si="17"/>
        <v>29492</v>
      </c>
      <c r="I29" s="114">
        <f t="shared" si="17"/>
        <v>655.38</v>
      </c>
      <c r="J29" s="107">
        <f t="shared" si="17"/>
        <v>206.45</v>
      </c>
      <c r="K29" s="114">
        <f t="shared" si="17"/>
        <v>11.8</v>
      </c>
      <c r="L29" s="114">
        <f t="shared" si="17"/>
        <v>60</v>
      </c>
      <c r="M29" s="114">
        <f t="shared" si="17"/>
        <v>933.63</v>
      </c>
      <c r="N29" s="114">
        <f t="shared" si="17"/>
        <v>655.38</v>
      </c>
      <c r="O29" s="114">
        <f t="shared" si="17"/>
        <v>93.63</v>
      </c>
      <c r="P29" s="114">
        <f t="shared" si="17"/>
        <v>187.25</v>
      </c>
      <c r="Q29" s="114">
        <f t="shared" si="17"/>
        <v>374.5</v>
      </c>
    </row>
    <row r="30" s="4" customFormat="1" ht="18" customHeight="1" spans="1:17">
      <c r="A30" s="22"/>
      <c r="B30" s="22"/>
      <c r="C30" s="109" t="s">
        <v>161</v>
      </c>
      <c r="D30" s="45" t="s">
        <v>180</v>
      </c>
      <c r="E30" s="46">
        <v>468130</v>
      </c>
      <c r="F30" s="108"/>
      <c r="G30" s="110">
        <f>ROUND(E30*0.7-F30,0)</f>
        <v>327691</v>
      </c>
      <c r="H30" s="110">
        <f>ROUND(G30*0.09,0)</f>
        <v>29492</v>
      </c>
      <c r="I30" s="115">
        <f>ROUND(G30*20/10000,2)</f>
        <v>655.38</v>
      </c>
      <c r="J30" s="116">
        <f>ROUND(G30*0.5*0.6*21/10000,2)</f>
        <v>206.45</v>
      </c>
      <c r="K30" s="117">
        <f>ROUND((H30+F30)*0.4*10/10000,2)</f>
        <v>11.8</v>
      </c>
      <c r="L30" s="118">
        <v>60</v>
      </c>
      <c r="M30" s="118">
        <f>SUM(I30:L30)</f>
        <v>933.63</v>
      </c>
      <c r="N30" s="41">
        <f>I30</f>
        <v>655.38</v>
      </c>
      <c r="O30" s="117">
        <f>ROUND((E30-F30/0.7)*0.1*0.002,2)</f>
        <v>93.63</v>
      </c>
      <c r="P30" s="117">
        <f>ROUND((E30-F30/0.7)*0.2*0.002,2)</f>
        <v>187.25</v>
      </c>
      <c r="Q30" s="117">
        <f>N30-O30-P30</f>
        <v>374.5</v>
      </c>
    </row>
    <row r="31" s="4" customFormat="1" ht="18" customHeight="1" spans="1:17">
      <c r="A31" s="22">
        <v>441700</v>
      </c>
      <c r="B31" s="22" t="s">
        <v>119</v>
      </c>
      <c r="C31" s="107"/>
      <c r="D31" s="23" t="s">
        <v>120</v>
      </c>
      <c r="E31" s="108">
        <f t="shared" ref="E31:Q31" si="18">SUM(E32:E33)</f>
        <v>873559</v>
      </c>
      <c r="F31" s="108">
        <f t="shared" si="18"/>
        <v>0</v>
      </c>
      <c r="G31" s="108">
        <f t="shared" si="18"/>
        <v>611492</v>
      </c>
      <c r="H31" s="108">
        <f t="shared" si="18"/>
        <v>55034</v>
      </c>
      <c r="I31" s="114">
        <f t="shared" si="18"/>
        <v>1222.98</v>
      </c>
      <c r="J31" s="107">
        <f t="shared" si="18"/>
        <v>385.24</v>
      </c>
      <c r="K31" s="114">
        <f t="shared" si="18"/>
        <v>22.02</v>
      </c>
      <c r="L31" s="114">
        <f t="shared" si="18"/>
        <v>120</v>
      </c>
      <c r="M31" s="114">
        <f t="shared" si="18"/>
        <v>1750.24</v>
      </c>
      <c r="N31" s="114">
        <f t="shared" si="18"/>
        <v>1222.98</v>
      </c>
      <c r="O31" s="114">
        <f t="shared" si="18"/>
        <v>174.71</v>
      </c>
      <c r="P31" s="114">
        <f t="shared" si="18"/>
        <v>349.42</v>
      </c>
      <c r="Q31" s="114">
        <f t="shared" si="18"/>
        <v>698.85</v>
      </c>
    </row>
    <row r="32" s="4" customFormat="1" ht="18" customHeight="1" spans="1:17">
      <c r="A32" s="22"/>
      <c r="B32" s="22"/>
      <c r="C32" s="109" t="s">
        <v>161</v>
      </c>
      <c r="D32" s="45" t="s">
        <v>181</v>
      </c>
      <c r="E32" s="46">
        <v>553451</v>
      </c>
      <c r="F32" s="108"/>
      <c r="G32" s="110">
        <f>ROUND(E32*0.7-F32,0)</f>
        <v>387416</v>
      </c>
      <c r="H32" s="110">
        <f>ROUND(G32*0.09,0)</f>
        <v>34867</v>
      </c>
      <c r="I32" s="115">
        <f>ROUND(G32*20/10000,2)</f>
        <v>774.83</v>
      </c>
      <c r="J32" s="116">
        <f>ROUND(G32*0.5*0.6*21/10000,2)</f>
        <v>244.07</v>
      </c>
      <c r="K32" s="117">
        <f>ROUND((H32+F32)*0.4*10/10000,2)</f>
        <v>13.95</v>
      </c>
      <c r="L32" s="118">
        <v>60</v>
      </c>
      <c r="M32" s="118">
        <f>SUM(I32:L32)</f>
        <v>1092.85</v>
      </c>
      <c r="N32" s="41">
        <f>I32</f>
        <v>774.83</v>
      </c>
      <c r="O32" s="117">
        <f>ROUND((E32-F32/0.7)*0.1*0.002,2)</f>
        <v>110.69</v>
      </c>
      <c r="P32" s="117">
        <f>ROUND((E32-F32/0.7)*0.2*0.002,2)</f>
        <v>221.38</v>
      </c>
      <c r="Q32" s="117">
        <f>N32-O32-P32</f>
        <v>442.76</v>
      </c>
    </row>
    <row r="33" s="4" customFormat="1" ht="18" customHeight="1" spans="1:17">
      <c r="A33" s="22"/>
      <c r="B33" s="22"/>
      <c r="C33" s="109" t="s">
        <v>161</v>
      </c>
      <c r="D33" s="45" t="s">
        <v>182</v>
      </c>
      <c r="E33" s="46">
        <v>320108</v>
      </c>
      <c r="F33" s="108"/>
      <c r="G33" s="110">
        <f>ROUND(E33*0.7-F33,0)</f>
        <v>224076</v>
      </c>
      <c r="H33" s="110">
        <f>ROUND(G33*0.09,0)</f>
        <v>20167</v>
      </c>
      <c r="I33" s="115">
        <f>ROUND(G33*20/10000,2)</f>
        <v>448.15</v>
      </c>
      <c r="J33" s="116">
        <f>ROUND(G33*0.5*0.6*21/10000,2)</f>
        <v>141.17</v>
      </c>
      <c r="K33" s="117">
        <f>ROUND((H33+F33)*0.4*10/10000,2)</f>
        <v>8.07</v>
      </c>
      <c r="L33" s="118">
        <v>60</v>
      </c>
      <c r="M33" s="118">
        <f>SUM(I33:L33)</f>
        <v>657.39</v>
      </c>
      <c r="N33" s="41">
        <f>I33</f>
        <v>448.15</v>
      </c>
      <c r="O33" s="117">
        <f>ROUND((E33-F33/0.7)*0.1*0.002,2)</f>
        <v>64.02</v>
      </c>
      <c r="P33" s="117">
        <f>ROUND((E33-F33/0.7)*0.2*0.002,2)</f>
        <v>128.04</v>
      </c>
      <c r="Q33" s="117">
        <f>N33-O33-P33</f>
        <v>256.09</v>
      </c>
    </row>
    <row r="34" s="4" customFormat="1" ht="18" customHeight="1" spans="1:17">
      <c r="A34" s="22"/>
      <c r="B34" s="22"/>
      <c r="C34" s="107"/>
      <c r="D34" s="23" t="s">
        <v>123</v>
      </c>
      <c r="E34" s="108">
        <f t="shared" ref="E34:Q34" si="19">SUM(E35:E36)</f>
        <v>1145022</v>
      </c>
      <c r="F34" s="108">
        <f t="shared" si="19"/>
        <v>0</v>
      </c>
      <c r="G34" s="108">
        <f t="shared" si="19"/>
        <v>801515</v>
      </c>
      <c r="H34" s="108">
        <f t="shared" si="19"/>
        <v>72137</v>
      </c>
      <c r="I34" s="114">
        <f t="shared" si="19"/>
        <v>1603.03</v>
      </c>
      <c r="J34" s="107">
        <f t="shared" si="19"/>
        <v>504.95</v>
      </c>
      <c r="K34" s="114">
        <f t="shared" si="19"/>
        <v>28.85</v>
      </c>
      <c r="L34" s="114">
        <f t="shared" si="19"/>
        <v>120</v>
      </c>
      <c r="M34" s="114">
        <f t="shared" si="19"/>
        <v>2256.83</v>
      </c>
      <c r="N34" s="114">
        <f t="shared" si="19"/>
        <v>1603.03</v>
      </c>
      <c r="O34" s="114">
        <f t="shared" si="19"/>
        <v>229</v>
      </c>
      <c r="P34" s="114">
        <f t="shared" si="19"/>
        <v>458.01</v>
      </c>
      <c r="Q34" s="114">
        <f t="shared" si="19"/>
        <v>916.02</v>
      </c>
    </row>
    <row r="35" s="4" customFormat="1" ht="18" customHeight="1" spans="1:17">
      <c r="A35" s="22"/>
      <c r="B35" s="22"/>
      <c r="C35" s="109" t="s">
        <v>161</v>
      </c>
      <c r="D35" s="49" t="s">
        <v>183</v>
      </c>
      <c r="E35" s="46">
        <v>744522</v>
      </c>
      <c r="F35" s="108"/>
      <c r="G35" s="110">
        <f>ROUND(E35*0.7-F35,0)</f>
        <v>521165</v>
      </c>
      <c r="H35" s="110">
        <f>ROUND(G35*0.09,0)</f>
        <v>46905</v>
      </c>
      <c r="I35" s="115">
        <f>ROUND(G35*20/10000,2)</f>
        <v>1042.33</v>
      </c>
      <c r="J35" s="116">
        <f>ROUND(G35*0.5*0.6*21/10000,2)</f>
        <v>328.33</v>
      </c>
      <c r="K35" s="117">
        <f>ROUND((H35+F35)*0.4*10/10000,2)</f>
        <v>18.76</v>
      </c>
      <c r="L35" s="118">
        <v>60</v>
      </c>
      <c r="M35" s="118">
        <f>SUM(I35:L35)</f>
        <v>1449.42</v>
      </c>
      <c r="N35" s="41">
        <f>I35</f>
        <v>1042.33</v>
      </c>
      <c r="O35" s="117">
        <f>ROUND((E35-F35/0.7)*0.1*0.002,2)</f>
        <v>148.9</v>
      </c>
      <c r="P35" s="117">
        <f>ROUND((E35-F35/0.7)*0.2*0.002,2)</f>
        <v>297.81</v>
      </c>
      <c r="Q35" s="117">
        <f>N35-O35-P35</f>
        <v>595.62</v>
      </c>
    </row>
    <row r="36" s="4" customFormat="1" ht="18" customHeight="1" spans="1:17">
      <c r="A36" s="22"/>
      <c r="B36" s="22"/>
      <c r="C36" s="109" t="s">
        <v>161</v>
      </c>
      <c r="D36" s="45" t="s">
        <v>184</v>
      </c>
      <c r="E36" s="46">
        <v>400500</v>
      </c>
      <c r="F36" s="108"/>
      <c r="G36" s="110">
        <f>ROUND(E36*0.7-F36,0)</f>
        <v>280350</v>
      </c>
      <c r="H36" s="110">
        <f>ROUND(G36*0.09,0)</f>
        <v>25232</v>
      </c>
      <c r="I36" s="115">
        <f>ROUND(G36*20/10000,2)</f>
        <v>560.7</v>
      </c>
      <c r="J36" s="116">
        <f>ROUND(G36*0.5*0.6*21/10000,2)</f>
        <v>176.62</v>
      </c>
      <c r="K36" s="117">
        <f>ROUND((H36+F36)*0.4*10/10000,2)</f>
        <v>10.09</v>
      </c>
      <c r="L36" s="118">
        <v>60</v>
      </c>
      <c r="M36" s="118">
        <f>SUM(I36:L36)</f>
        <v>807.41</v>
      </c>
      <c r="N36" s="41">
        <f>I36</f>
        <v>560.7</v>
      </c>
      <c r="O36" s="117">
        <f>ROUND((E36-F36/0.7)*0.1*0.002,2)</f>
        <v>80.1</v>
      </c>
      <c r="P36" s="117">
        <f>ROUND((E36-F36/0.7)*0.2*0.002,2)</f>
        <v>160.2</v>
      </c>
      <c r="Q36" s="117">
        <f>N36-O36-P36</f>
        <v>320.4</v>
      </c>
    </row>
    <row r="37" s="4" customFormat="1" ht="18" customHeight="1" spans="1:17">
      <c r="A37" s="22">
        <v>445100</v>
      </c>
      <c r="B37" s="22" t="s">
        <v>131</v>
      </c>
      <c r="C37" s="107"/>
      <c r="D37" s="23" t="s">
        <v>132</v>
      </c>
      <c r="E37" s="108">
        <f t="shared" ref="E37:Q37" si="20">SUM(E38:E39)</f>
        <v>1216598</v>
      </c>
      <c r="F37" s="108">
        <f t="shared" si="20"/>
        <v>0</v>
      </c>
      <c r="G37" s="108">
        <f t="shared" si="20"/>
        <v>851619</v>
      </c>
      <c r="H37" s="108">
        <f t="shared" si="20"/>
        <v>76646</v>
      </c>
      <c r="I37" s="114">
        <f t="shared" si="20"/>
        <v>1703.23</v>
      </c>
      <c r="J37" s="107">
        <f t="shared" si="20"/>
        <v>536.52</v>
      </c>
      <c r="K37" s="114">
        <f t="shared" si="20"/>
        <v>30.66</v>
      </c>
      <c r="L37" s="114">
        <f t="shared" si="20"/>
        <v>120</v>
      </c>
      <c r="M37" s="114">
        <f t="shared" si="20"/>
        <v>2390.41</v>
      </c>
      <c r="N37" s="114">
        <f t="shared" si="20"/>
        <v>1703.23</v>
      </c>
      <c r="O37" s="114">
        <f t="shared" si="20"/>
        <v>243.32</v>
      </c>
      <c r="P37" s="114">
        <f t="shared" si="20"/>
        <v>486.64</v>
      </c>
      <c r="Q37" s="114">
        <f t="shared" si="20"/>
        <v>973.27</v>
      </c>
    </row>
    <row r="38" s="4" customFormat="1" ht="18" customHeight="1" spans="1:17">
      <c r="A38" s="22"/>
      <c r="B38" s="22"/>
      <c r="C38" s="109" t="s">
        <v>161</v>
      </c>
      <c r="D38" s="45" t="s">
        <v>185</v>
      </c>
      <c r="E38" s="46">
        <v>401060</v>
      </c>
      <c r="F38" s="108"/>
      <c r="G38" s="110">
        <f>ROUND(E38*0.7-F38,0)</f>
        <v>280742</v>
      </c>
      <c r="H38" s="110">
        <f>ROUND(G38*0.09,0)</f>
        <v>25267</v>
      </c>
      <c r="I38" s="115">
        <f>ROUND(G38*20/10000,2)</f>
        <v>561.48</v>
      </c>
      <c r="J38" s="116">
        <f>ROUND(G38*0.5*0.6*21/10000,2)</f>
        <v>176.87</v>
      </c>
      <c r="K38" s="117">
        <f>ROUND((H38+F38)*0.4*10/10000,2)</f>
        <v>10.11</v>
      </c>
      <c r="L38" s="118">
        <v>60</v>
      </c>
      <c r="M38" s="118">
        <f>SUM(I38:L38)</f>
        <v>808.46</v>
      </c>
      <c r="N38" s="41">
        <f>I38</f>
        <v>561.48</v>
      </c>
      <c r="O38" s="117">
        <f>ROUND((E38-F38/0.7)*0.1*0.002,2)</f>
        <v>80.21</v>
      </c>
      <c r="P38" s="117">
        <f>ROUND((E38-F38/0.7)*0.2*0.002,2)</f>
        <v>160.42</v>
      </c>
      <c r="Q38" s="117">
        <f>N38-O38-P38</f>
        <v>320.85</v>
      </c>
    </row>
    <row r="39" s="4" customFormat="1" ht="18" customHeight="1" spans="1:17">
      <c r="A39" s="22"/>
      <c r="B39" s="22"/>
      <c r="C39" s="109" t="s">
        <v>161</v>
      </c>
      <c r="D39" s="45" t="s">
        <v>186</v>
      </c>
      <c r="E39" s="46">
        <v>815538</v>
      </c>
      <c r="F39" s="108"/>
      <c r="G39" s="110">
        <f>ROUND(E39*0.7-F39,0)</f>
        <v>570877</v>
      </c>
      <c r="H39" s="110">
        <f>ROUND(G39*0.09,0)</f>
        <v>51379</v>
      </c>
      <c r="I39" s="115">
        <f>ROUND(G39*20/10000,2)</f>
        <v>1141.75</v>
      </c>
      <c r="J39" s="116">
        <f>ROUND(G39*0.5*0.6*21/10000,2)</f>
        <v>359.65</v>
      </c>
      <c r="K39" s="117">
        <f>ROUND((H39+F39)*0.4*10/10000,2)</f>
        <v>20.55</v>
      </c>
      <c r="L39" s="118">
        <v>60</v>
      </c>
      <c r="M39" s="118">
        <f>SUM(I39:L39)</f>
        <v>1581.95</v>
      </c>
      <c r="N39" s="41">
        <f>I39</f>
        <v>1141.75</v>
      </c>
      <c r="O39" s="117">
        <f>ROUND((E39-F39/0.7)*0.1*0.002,2)</f>
        <v>163.11</v>
      </c>
      <c r="P39" s="117">
        <f>ROUND((E39-F39/0.7)*0.2*0.002,2)</f>
        <v>326.22</v>
      </c>
      <c r="Q39" s="117">
        <f>N39-O39-P39</f>
        <v>652.42</v>
      </c>
    </row>
    <row r="40" s="4" customFormat="1" ht="18" customHeight="1" spans="1:17">
      <c r="A40" s="22">
        <v>445200</v>
      </c>
      <c r="B40" s="22" t="s">
        <v>134</v>
      </c>
      <c r="C40" s="107"/>
      <c r="D40" s="23" t="s">
        <v>135</v>
      </c>
      <c r="E40" s="108">
        <f t="shared" ref="E40:Q40" si="21">SUM(E41:E42)</f>
        <v>1228052</v>
      </c>
      <c r="F40" s="108">
        <f t="shared" si="21"/>
        <v>0</v>
      </c>
      <c r="G40" s="108">
        <f t="shared" si="21"/>
        <v>859637</v>
      </c>
      <c r="H40" s="108">
        <f t="shared" si="21"/>
        <v>77367</v>
      </c>
      <c r="I40" s="114">
        <f t="shared" si="21"/>
        <v>1719.28</v>
      </c>
      <c r="J40" s="107">
        <f t="shared" si="21"/>
        <v>541.57</v>
      </c>
      <c r="K40" s="114">
        <f t="shared" si="21"/>
        <v>30.95</v>
      </c>
      <c r="L40" s="114">
        <f t="shared" si="21"/>
        <v>120</v>
      </c>
      <c r="M40" s="114">
        <f t="shared" si="21"/>
        <v>2411.8</v>
      </c>
      <c r="N40" s="114">
        <f t="shared" si="21"/>
        <v>1719.28</v>
      </c>
      <c r="O40" s="114">
        <f t="shared" si="21"/>
        <v>245.61</v>
      </c>
      <c r="P40" s="114">
        <f t="shared" si="21"/>
        <v>491.22</v>
      </c>
      <c r="Q40" s="114">
        <f t="shared" si="21"/>
        <v>982.45</v>
      </c>
    </row>
    <row r="41" s="4" customFormat="1" ht="18" customHeight="1" spans="1:17">
      <c r="A41" s="22"/>
      <c r="B41" s="22"/>
      <c r="C41" s="109" t="s">
        <v>161</v>
      </c>
      <c r="D41" s="45" t="s">
        <v>187</v>
      </c>
      <c r="E41" s="46">
        <v>626061</v>
      </c>
      <c r="F41" s="108"/>
      <c r="G41" s="110">
        <f>ROUND(E41*0.7-F41,0)</f>
        <v>438243</v>
      </c>
      <c r="H41" s="110">
        <f>ROUND(G41*0.09,0)</f>
        <v>39442</v>
      </c>
      <c r="I41" s="115">
        <f>ROUND(G41*20/10000,2)</f>
        <v>876.49</v>
      </c>
      <c r="J41" s="116">
        <f>ROUND(G41*0.5*0.6*21/10000,2)</f>
        <v>276.09</v>
      </c>
      <c r="K41" s="117">
        <f>ROUND((H41+F41)*0.4*10/10000,2)</f>
        <v>15.78</v>
      </c>
      <c r="L41" s="118">
        <v>60</v>
      </c>
      <c r="M41" s="118">
        <f>SUM(I41:L41)</f>
        <v>1228.36</v>
      </c>
      <c r="N41" s="41">
        <f>I41</f>
        <v>876.49</v>
      </c>
      <c r="O41" s="117">
        <f>ROUND((E41-F41/0.7)*0.1*0.002,2)</f>
        <v>125.21</v>
      </c>
      <c r="P41" s="117">
        <f>ROUND((E41-F41/0.7)*0.2*0.002,2)</f>
        <v>250.42</v>
      </c>
      <c r="Q41" s="117">
        <f>N41-O41-P41</f>
        <v>500.86</v>
      </c>
    </row>
    <row r="42" s="4" customFormat="1" ht="18" customHeight="1" spans="1:17">
      <c r="A42" s="22"/>
      <c r="B42" s="22"/>
      <c r="C42" s="109" t="s">
        <v>161</v>
      </c>
      <c r="D42" s="45" t="s">
        <v>188</v>
      </c>
      <c r="E42" s="46">
        <v>601991</v>
      </c>
      <c r="F42" s="108"/>
      <c r="G42" s="110">
        <f>ROUND(E42*0.7-F42,0)</f>
        <v>421394</v>
      </c>
      <c r="H42" s="110">
        <f>ROUND(G42*0.09,0)</f>
        <v>37925</v>
      </c>
      <c r="I42" s="115">
        <f>ROUND(G42*20/10000,2)</f>
        <v>842.79</v>
      </c>
      <c r="J42" s="116">
        <f>ROUND(G42*0.5*0.6*21/10000,2)</f>
        <v>265.48</v>
      </c>
      <c r="K42" s="117">
        <f>ROUND((H42+F42)*0.4*10/10000,2)</f>
        <v>15.17</v>
      </c>
      <c r="L42" s="118">
        <v>60</v>
      </c>
      <c r="M42" s="118">
        <f>SUM(I42:L42)</f>
        <v>1183.44</v>
      </c>
      <c r="N42" s="41">
        <f>I42</f>
        <v>842.79</v>
      </c>
      <c r="O42" s="117">
        <f>ROUND((E42-F42/0.7)*0.1*0.002,2)</f>
        <v>120.4</v>
      </c>
      <c r="P42" s="117">
        <f>ROUND((E42-F42/0.7)*0.2*0.002,2)</f>
        <v>240.8</v>
      </c>
      <c r="Q42" s="117">
        <f>N42-O42-P42</f>
        <v>481.59</v>
      </c>
    </row>
    <row r="43" s="4" customFormat="1" ht="18" customHeight="1" spans="1:17">
      <c r="A43" s="22">
        <v>445300</v>
      </c>
      <c r="B43" s="22" t="s">
        <v>139</v>
      </c>
      <c r="C43" s="107"/>
      <c r="D43" s="23" t="s">
        <v>140</v>
      </c>
      <c r="E43" s="108">
        <f t="shared" ref="E43:Q43" si="22">SUM(E44:E45)</f>
        <v>411757</v>
      </c>
      <c r="F43" s="108">
        <f t="shared" si="22"/>
        <v>0</v>
      </c>
      <c r="G43" s="108">
        <f t="shared" si="22"/>
        <v>288230</v>
      </c>
      <c r="H43" s="108">
        <f t="shared" si="22"/>
        <v>25941</v>
      </c>
      <c r="I43" s="114">
        <f t="shared" si="22"/>
        <v>576.46</v>
      </c>
      <c r="J43" s="107">
        <f t="shared" si="22"/>
        <v>181.59</v>
      </c>
      <c r="K43" s="114">
        <f t="shared" si="22"/>
        <v>10.38</v>
      </c>
      <c r="L43" s="114">
        <f t="shared" si="22"/>
        <v>120</v>
      </c>
      <c r="M43" s="114">
        <f t="shared" si="22"/>
        <v>888.43</v>
      </c>
      <c r="N43" s="114">
        <f t="shared" si="22"/>
        <v>576.46</v>
      </c>
      <c r="O43" s="114">
        <f t="shared" si="22"/>
        <v>82.35</v>
      </c>
      <c r="P43" s="114">
        <f t="shared" si="22"/>
        <v>164.71</v>
      </c>
      <c r="Q43" s="114">
        <f t="shared" si="22"/>
        <v>329.4</v>
      </c>
    </row>
    <row r="44" s="4" customFormat="1" ht="18" customHeight="1" spans="1:17">
      <c r="A44" s="22"/>
      <c r="B44" s="22"/>
      <c r="C44" s="109" t="s">
        <v>161</v>
      </c>
      <c r="D44" s="45" t="s">
        <v>189</v>
      </c>
      <c r="E44" s="46">
        <v>267092</v>
      </c>
      <c r="F44" s="108"/>
      <c r="G44" s="110">
        <f>ROUND(E44*0.7-F44,0)</f>
        <v>186964</v>
      </c>
      <c r="H44" s="110">
        <f>ROUND(G44*0.09,0)</f>
        <v>16827</v>
      </c>
      <c r="I44" s="115">
        <f>ROUND(G44*20/10000,2)</f>
        <v>373.93</v>
      </c>
      <c r="J44" s="116">
        <f>ROUND(G44*0.5*0.6*21/10000,2)</f>
        <v>117.79</v>
      </c>
      <c r="K44" s="117">
        <f>ROUND((H44+F44)*0.4*10/10000,2)</f>
        <v>6.73</v>
      </c>
      <c r="L44" s="118">
        <v>60</v>
      </c>
      <c r="M44" s="118">
        <f>SUM(I44:L44)</f>
        <v>558.45</v>
      </c>
      <c r="N44" s="41">
        <f>I44</f>
        <v>373.93</v>
      </c>
      <c r="O44" s="117">
        <f>ROUND((E44-F44/0.7)*0.1*0.002,2)</f>
        <v>53.42</v>
      </c>
      <c r="P44" s="117">
        <f>ROUND((E44-F44/0.7)*0.2*0.002,2)</f>
        <v>106.84</v>
      </c>
      <c r="Q44" s="117">
        <f>N44-O44-P44</f>
        <v>213.67</v>
      </c>
    </row>
    <row r="45" s="4" customFormat="1" ht="18" customHeight="1" spans="1:17">
      <c r="A45" s="22"/>
      <c r="B45" s="22"/>
      <c r="C45" s="109" t="s">
        <v>161</v>
      </c>
      <c r="D45" s="45" t="s">
        <v>190</v>
      </c>
      <c r="E45" s="46">
        <v>144665</v>
      </c>
      <c r="F45" s="108"/>
      <c r="G45" s="110">
        <f>ROUND(E45*0.7-F45,0)</f>
        <v>101266</v>
      </c>
      <c r="H45" s="110">
        <f>ROUND(G45*0.09,0)</f>
        <v>9114</v>
      </c>
      <c r="I45" s="115">
        <f>ROUND(G45*20/10000,2)</f>
        <v>202.53</v>
      </c>
      <c r="J45" s="116">
        <f>ROUND(G45*0.5*0.6*21/10000,2)</f>
        <v>63.8</v>
      </c>
      <c r="K45" s="117">
        <f>ROUND((H45+F45)*0.4*10/10000,2)</f>
        <v>3.65</v>
      </c>
      <c r="L45" s="118">
        <v>60</v>
      </c>
      <c r="M45" s="118">
        <f>SUM(I45:L45)</f>
        <v>329.98</v>
      </c>
      <c r="N45" s="41">
        <f>I45</f>
        <v>202.53</v>
      </c>
      <c r="O45" s="117">
        <f>ROUND((E45-F45/0.7)*0.1*0.002,2)</f>
        <v>28.93</v>
      </c>
      <c r="P45" s="117">
        <f>ROUND((E45-F45/0.7)*0.2*0.002,2)</f>
        <v>57.87</v>
      </c>
      <c r="Q45" s="117">
        <f>N45-O45-P45</f>
        <v>115.73</v>
      </c>
    </row>
    <row r="46" s="1" customFormat="1" spans="3:14">
      <c r="C46" s="104"/>
      <c r="E46" s="76"/>
      <c r="F46" s="76"/>
      <c r="G46" s="76"/>
      <c r="H46" s="76"/>
      <c r="I46" s="104"/>
      <c r="J46" s="104"/>
      <c r="K46" s="104"/>
      <c r="L46" s="104"/>
      <c r="M46" s="104"/>
      <c r="N46" s="104"/>
    </row>
    <row r="47" s="1" customFormat="1" ht="116" customHeight="1" spans="3:17">
      <c r="C47" s="111"/>
      <c r="D47" s="111" t="s">
        <v>160</v>
      </c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</row>
    <row r="48" s="1" customFormat="1" ht="16" customHeight="1" spans="3:14">
      <c r="C48" s="112"/>
      <c r="D48" s="113"/>
      <c r="E48" s="113"/>
      <c r="F48" s="113"/>
      <c r="G48" s="113"/>
      <c r="H48" s="113"/>
      <c r="I48" s="112"/>
      <c r="J48" s="112"/>
      <c r="K48" s="112"/>
      <c r="L48" s="112"/>
      <c r="M48" s="112"/>
      <c r="N48" s="112"/>
    </row>
    <row r="49" s="1" customFormat="1" ht="16" customHeight="1" spans="3:14">
      <c r="C49" s="112"/>
      <c r="D49" s="113"/>
      <c r="E49" s="113"/>
      <c r="F49" s="113"/>
      <c r="G49" s="113"/>
      <c r="H49" s="113"/>
      <c r="I49" s="112"/>
      <c r="J49" s="112"/>
      <c r="K49" s="112"/>
      <c r="L49" s="112"/>
      <c r="M49" s="112"/>
      <c r="N49" s="112"/>
    </row>
    <row r="50" s="1" customFormat="1" ht="16" customHeight="1" spans="3:14">
      <c r="C50" s="112"/>
      <c r="D50" s="113"/>
      <c r="E50" s="113"/>
      <c r="F50" s="113"/>
      <c r="G50" s="113"/>
      <c r="H50" s="113"/>
      <c r="I50" s="112"/>
      <c r="J50" s="112"/>
      <c r="K50" s="112"/>
      <c r="L50" s="112"/>
      <c r="M50" s="112"/>
      <c r="N50" s="112"/>
    </row>
    <row r="51" s="1" customFormat="1" ht="16" customHeight="1" spans="3:14">
      <c r="C51" s="112"/>
      <c r="D51" s="113"/>
      <c r="E51" s="113"/>
      <c r="F51" s="113"/>
      <c r="G51" s="113"/>
      <c r="H51" s="113"/>
      <c r="I51" s="112"/>
      <c r="J51" s="112"/>
      <c r="K51" s="112"/>
      <c r="L51" s="112"/>
      <c r="M51" s="112"/>
      <c r="N51" s="112"/>
    </row>
    <row r="52" s="1" customFormat="1" ht="16" customHeight="1" spans="3:14">
      <c r="C52" s="112"/>
      <c r="D52" s="113"/>
      <c r="E52" s="113"/>
      <c r="F52" s="113"/>
      <c r="G52" s="113"/>
      <c r="H52" s="113"/>
      <c r="I52" s="112"/>
      <c r="J52" s="112"/>
      <c r="K52" s="112"/>
      <c r="L52" s="112"/>
      <c r="M52" s="112"/>
      <c r="N52" s="112"/>
    </row>
    <row r="53" s="1" customFormat="1" ht="16" customHeight="1" spans="3:14">
      <c r="C53" s="112"/>
      <c r="D53" s="113"/>
      <c r="E53" s="113"/>
      <c r="F53" s="113"/>
      <c r="G53" s="113"/>
      <c r="H53" s="113"/>
      <c r="I53" s="112"/>
      <c r="J53" s="112"/>
      <c r="K53" s="112"/>
      <c r="L53" s="112"/>
      <c r="M53" s="112"/>
      <c r="N53" s="112"/>
    </row>
    <row r="54" s="1" customFormat="1" ht="16" customHeight="1" spans="3:14">
      <c r="C54" s="112"/>
      <c r="D54" s="113"/>
      <c r="E54" s="113"/>
      <c r="F54" s="113"/>
      <c r="G54" s="113"/>
      <c r="H54" s="113"/>
      <c r="I54" s="112"/>
      <c r="J54" s="112"/>
      <c r="K54" s="112"/>
      <c r="L54" s="112"/>
      <c r="M54" s="112"/>
      <c r="N54" s="112"/>
    </row>
    <row r="55" s="1" customFormat="1" spans="3:14">
      <c r="C55" s="104"/>
      <c r="E55" s="76"/>
      <c r="F55" s="76"/>
      <c r="G55" s="76"/>
      <c r="H55" s="76"/>
      <c r="I55" s="104"/>
      <c r="J55" s="104"/>
      <c r="K55" s="104"/>
      <c r="L55" s="104"/>
      <c r="M55" s="104"/>
      <c r="N55" s="104"/>
    </row>
  </sheetData>
  <autoFilter ref="A2:Q45">
    <extLst/>
  </autoFilter>
  <mergeCells count="3">
    <mergeCell ref="D1:Q1"/>
    <mergeCell ref="N2:Q2"/>
    <mergeCell ref="D47:Q47"/>
  </mergeCells>
  <printOptions horizontalCentered="1"/>
  <pageMargins left="0.751388888888889" right="0.751388888888889" top="0.60625" bottom="0.60625" header="0.5" footer="0.5"/>
  <pageSetup paperSize="8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E7" sqref="E7"/>
    </sheetView>
  </sheetViews>
  <sheetFormatPr defaultColWidth="9" defaultRowHeight="13.5" outlineLevelCol="4"/>
  <cols>
    <col min="1" max="1" width="10.8833333333333" style="90" customWidth="1"/>
    <col min="2" max="2" width="14.75" style="90" customWidth="1"/>
    <col min="3" max="3" width="13.75" style="90" customWidth="1"/>
    <col min="4" max="4" width="9" style="90"/>
    <col min="5" max="5" width="45.1083333333333" style="90" customWidth="1"/>
    <col min="6" max="16384" width="9" style="90"/>
  </cols>
  <sheetData>
    <row r="1" s="90" customFormat="1" ht="15" customHeight="1"/>
    <row r="2" s="90" customFormat="1" ht="30" customHeight="1" spans="1:5">
      <c r="A2" s="91" t="s">
        <v>192</v>
      </c>
      <c r="B2" s="91"/>
      <c r="C2" s="91"/>
      <c r="D2" s="91"/>
      <c r="E2" s="91"/>
    </row>
    <row r="3" s="90" customFormat="1" ht="15" customHeight="1" spans="5:5">
      <c r="E3" s="92" t="s">
        <v>193</v>
      </c>
    </row>
    <row r="4" s="90" customFormat="1" ht="57" customHeight="1" spans="1:5">
      <c r="A4" s="93" t="s">
        <v>194</v>
      </c>
      <c r="B4" s="94" t="s">
        <v>195</v>
      </c>
      <c r="C4" s="94" t="s">
        <v>196</v>
      </c>
      <c r="D4" s="95" t="s">
        <v>197</v>
      </c>
      <c r="E4" s="93" t="s">
        <v>198</v>
      </c>
    </row>
    <row r="5" s="90" customFormat="1" ht="15" customHeight="1" spans="1:5">
      <c r="A5" s="93" t="s">
        <v>199</v>
      </c>
      <c r="B5" s="96" t="s">
        <v>23</v>
      </c>
      <c r="C5" s="96"/>
      <c r="D5" s="95">
        <f>SUM(D6,D10,D12,D16,D18,D22,D25)</f>
        <v>679</v>
      </c>
      <c r="E5" s="93"/>
    </row>
    <row r="6" s="90" customFormat="1" ht="15" customHeight="1" spans="1:5">
      <c r="A6" s="93"/>
      <c r="B6" s="93" t="s">
        <v>49</v>
      </c>
      <c r="C6" s="96" t="s">
        <v>200</v>
      </c>
      <c r="D6" s="95">
        <f>D7+D8+D9</f>
        <v>120</v>
      </c>
      <c r="E6" s="93"/>
    </row>
    <row r="7" s="90" customFormat="1" ht="230.25" spans="1:5">
      <c r="A7" s="93"/>
      <c r="B7" s="93"/>
      <c r="C7" s="97" t="s">
        <v>201</v>
      </c>
      <c r="D7" s="98">
        <v>27</v>
      </c>
      <c r="E7" s="99" t="s">
        <v>202</v>
      </c>
    </row>
    <row r="8" s="90" customFormat="1" ht="24" spans="1:5">
      <c r="A8" s="93"/>
      <c r="B8" s="93"/>
      <c r="C8" s="97" t="s">
        <v>203</v>
      </c>
      <c r="D8" s="98">
        <v>18</v>
      </c>
      <c r="E8" s="99" t="s">
        <v>204</v>
      </c>
    </row>
    <row r="9" s="90" customFormat="1" ht="48.75" spans="1:5">
      <c r="A9" s="93"/>
      <c r="B9" s="93"/>
      <c r="C9" s="97" t="s">
        <v>205</v>
      </c>
      <c r="D9" s="98">
        <v>75</v>
      </c>
      <c r="E9" s="99" t="s">
        <v>206</v>
      </c>
    </row>
    <row r="10" s="90" customFormat="1" spans="1:5">
      <c r="A10" s="93"/>
      <c r="B10" s="94" t="s">
        <v>50</v>
      </c>
      <c r="C10" s="96" t="s">
        <v>200</v>
      </c>
      <c r="D10" s="98">
        <f>D11</f>
        <v>100</v>
      </c>
      <c r="E10" s="99"/>
    </row>
    <row r="11" s="90" customFormat="1" ht="139.5" spans="1:5">
      <c r="A11" s="93"/>
      <c r="B11" s="100"/>
      <c r="C11" s="97" t="s">
        <v>207</v>
      </c>
      <c r="D11" s="98">
        <v>100</v>
      </c>
      <c r="E11" s="101" t="s">
        <v>208</v>
      </c>
    </row>
    <row r="12" s="90" customFormat="1" spans="1:5">
      <c r="A12" s="93"/>
      <c r="B12" s="93" t="s">
        <v>51</v>
      </c>
      <c r="C12" s="96" t="s">
        <v>200</v>
      </c>
      <c r="D12" s="98">
        <f>SUM(D13:D15)</f>
        <v>259</v>
      </c>
      <c r="E12" s="101"/>
    </row>
    <row r="13" s="90" customFormat="1" ht="100.5" spans="1:5">
      <c r="A13" s="93"/>
      <c r="B13" s="93"/>
      <c r="C13" s="97" t="s">
        <v>209</v>
      </c>
      <c r="D13" s="98">
        <v>146</v>
      </c>
      <c r="E13" s="101" t="s">
        <v>210</v>
      </c>
    </row>
    <row r="14" s="90" customFormat="1" ht="89.25" spans="1:5">
      <c r="A14" s="93"/>
      <c r="B14" s="93"/>
      <c r="C14" s="97" t="s">
        <v>211</v>
      </c>
      <c r="D14" s="98">
        <v>43</v>
      </c>
      <c r="E14" s="101" t="s">
        <v>212</v>
      </c>
    </row>
    <row r="15" s="90" customFormat="1" ht="108" spans="1:5">
      <c r="A15" s="93"/>
      <c r="B15" s="93"/>
      <c r="C15" s="97" t="s">
        <v>213</v>
      </c>
      <c r="D15" s="98">
        <v>70</v>
      </c>
      <c r="E15" s="99" t="s">
        <v>214</v>
      </c>
    </row>
    <row r="16" s="90" customFormat="1" spans="1:5">
      <c r="A16" s="93"/>
      <c r="B16" s="94" t="s">
        <v>149</v>
      </c>
      <c r="C16" s="96" t="s">
        <v>200</v>
      </c>
      <c r="D16" s="98">
        <f>D17</f>
        <v>20</v>
      </c>
      <c r="E16" s="99"/>
    </row>
    <row r="17" s="90" customFormat="1" ht="50.25" spans="1:5">
      <c r="A17" s="93"/>
      <c r="B17" s="100"/>
      <c r="C17" s="97" t="s">
        <v>215</v>
      </c>
      <c r="D17" s="98">
        <v>20</v>
      </c>
      <c r="E17" s="101" t="s">
        <v>216</v>
      </c>
    </row>
    <row r="18" s="90" customFormat="1" spans="1:5">
      <c r="A18" s="93"/>
      <c r="B18" s="93" t="s">
        <v>52</v>
      </c>
      <c r="C18" s="96" t="s">
        <v>200</v>
      </c>
      <c r="D18" s="98">
        <f>SUM(D19:D21)</f>
        <v>80</v>
      </c>
      <c r="E18" s="101"/>
    </row>
    <row r="19" s="90" customFormat="1" ht="24" spans="1:5">
      <c r="A19" s="93"/>
      <c r="B19" s="93"/>
      <c r="C19" s="97" t="s">
        <v>217</v>
      </c>
      <c r="D19" s="98">
        <v>30</v>
      </c>
      <c r="E19" s="99" t="s">
        <v>218</v>
      </c>
    </row>
    <row r="20" s="90" customFormat="1" ht="50.25" spans="1:5">
      <c r="A20" s="93"/>
      <c r="B20" s="93"/>
      <c r="C20" s="97" t="s">
        <v>219</v>
      </c>
      <c r="D20" s="98">
        <v>30</v>
      </c>
      <c r="E20" s="99" t="s">
        <v>220</v>
      </c>
    </row>
    <row r="21" s="90" customFormat="1" ht="38.25" spans="1:5">
      <c r="A21" s="93"/>
      <c r="B21" s="93"/>
      <c r="C21" s="97" t="s">
        <v>221</v>
      </c>
      <c r="D21" s="98">
        <v>20</v>
      </c>
      <c r="E21" s="99" t="s">
        <v>222</v>
      </c>
    </row>
    <row r="22" s="90" customFormat="1" spans="1:5">
      <c r="A22" s="93"/>
      <c r="B22" s="93" t="s">
        <v>53</v>
      </c>
      <c r="C22" s="96" t="s">
        <v>200</v>
      </c>
      <c r="D22" s="102">
        <f>D23+D24</f>
        <v>50</v>
      </c>
      <c r="E22" s="99"/>
    </row>
    <row r="23" s="90" customFormat="1" ht="37.5" spans="1:5">
      <c r="A23" s="93"/>
      <c r="B23" s="93"/>
      <c r="C23" s="97" t="s">
        <v>205</v>
      </c>
      <c r="D23" s="98">
        <v>48</v>
      </c>
      <c r="E23" s="99" t="s">
        <v>223</v>
      </c>
    </row>
    <row r="24" s="90" customFormat="1" ht="36.75" spans="1:5">
      <c r="A24" s="93"/>
      <c r="B24" s="93"/>
      <c r="C24" s="103" t="s">
        <v>224</v>
      </c>
      <c r="D24" s="98">
        <v>2</v>
      </c>
      <c r="E24" s="99" t="s">
        <v>225</v>
      </c>
    </row>
    <row r="25" s="90" customFormat="1" spans="1:5">
      <c r="A25" s="93"/>
      <c r="B25" s="93" t="s">
        <v>54</v>
      </c>
      <c r="C25" s="96" t="s">
        <v>200</v>
      </c>
      <c r="D25" s="102">
        <f>D26+D27</f>
        <v>50</v>
      </c>
      <c r="E25" s="99"/>
    </row>
    <row r="26" s="90" customFormat="1" ht="37.5" spans="1:5">
      <c r="A26" s="93"/>
      <c r="B26" s="93"/>
      <c r="C26" s="97" t="s">
        <v>205</v>
      </c>
      <c r="D26" s="98">
        <v>48</v>
      </c>
      <c r="E26" s="99" t="s">
        <v>223</v>
      </c>
    </row>
    <row r="27" s="90" customFormat="1" ht="36.75" spans="1:5">
      <c r="A27" s="93"/>
      <c r="B27" s="93"/>
      <c r="C27" s="103" t="s">
        <v>224</v>
      </c>
      <c r="D27" s="98">
        <v>2</v>
      </c>
      <c r="E27" s="99" t="s">
        <v>225</v>
      </c>
    </row>
  </sheetData>
  <mergeCells count="10">
    <mergeCell ref="A2:E2"/>
    <mergeCell ref="B5:C5"/>
    <mergeCell ref="A5:A27"/>
    <mergeCell ref="B6:B9"/>
    <mergeCell ref="B10:B11"/>
    <mergeCell ref="B12:B15"/>
    <mergeCell ref="B16:B17"/>
    <mergeCell ref="B18:B21"/>
    <mergeCell ref="B22:B24"/>
    <mergeCell ref="B25:B2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0"/>
  <sheetViews>
    <sheetView tabSelected="1" workbookViewId="0">
      <selection activeCell="F11" sqref="F11"/>
    </sheetView>
  </sheetViews>
  <sheetFormatPr defaultColWidth="9" defaultRowHeight="15" outlineLevelCol="1"/>
  <cols>
    <col min="1" max="1" width="51.25" style="76" customWidth="1"/>
    <col min="2" max="2" width="45.25" style="77" customWidth="1"/>
  </cols>
  <sheetData>
    <row r="1" spans="1:1">
      <c r="A1" s="78" t="s">
        <v>226</v>
      </c>
    </row>
    <row r="2" s="1" customFormat="1" ht="29" customHeight="1" spans="1:2">
      <c r="A2" s="6" t="s">
        <v>227</v>
      </c>
      <c r="B2" s="6"/>
    </row>
    <row r="3" s="1" customFormat="1" ht="24" customHeight="1" spans="1:2">
      <c r="A3" s="79"/>
      <c r="B3" s="80" t="s">
        <v>193</v>
      </c>
    </row>
    <row r="4" s="75" customFormat="1" ht="28" customHeight="1" spans="1:2">
      <c r="A4" s="8" t="s">
        <v>1</v>
      </c>
      <c r="B4" s="8" t="s">
        <v>228</v>
      </c>
    </row>
    <row r="5" s="2" customFormat="1" ht="18" customHeight="1" spans="1:2">
      <c r="A5" s="81" t="s">
        <v>47</v>
      </c>
      <c r="B5" s="82">
        <v>4228.26</v>
      </c>
    </row>
    <row r="6" s="2" customFormat="1" ht="18" customHeight="1" spans="1:2">
      <c r="A6" s="83" t="s">
        <v>48</v>
      </c>
      <c r="B6" s="82">
        <v>303</v>
      </c>
    </row>
    <row r="7" s="3" customFormat="1" ht="18" customHeight="1" spans="1:2">
      <c r="A7" s="11" t="s">
        <v>50</v>
      </c>
      <c r="B7" s="84">
        <v>50</v>
      </c>
    </row>
    <row r="8" s="3" customFormat="1" ht="18" customHeight="1" spans="1:2">
      <c r="A8" s="11" t="s">
        <v>51</v>
      </c>
      <c r="B8" s="84">
        <v>68</v>
      </c>
    </row>
    <row r="9" s="3" customFormat="1" ht="18" customHeight="1" spans="1:2">
      <c r="A9" s="11" t="s">
        <v>149</v>
      </c>
      <c r="B9" s="84">
        <v>20</v>
      </c>
    </row>
    <row r="10" s="3" customFormat="1" ht="18" customHeight="1" spans="1:2">
      <c r="A10" s="11" t="s">
        <v>53</v>
      </c>
      <c r="B10" s="84">
        <v>84</v>
      </c>
    </row>
    <row r="11" s="3" customFormat="1" ht="18" customHeight="1" spans="1:2">
      <c r="A11" s="11" t="s">
        <v>54</v>
      </c>
      <c r="B11" s="84">
        <v>30</v>
      </c>
    </row>
    <row r="12" s="3" customFormat="1" ht="18" customHeight="1" spans="1:2">
      <c r="A12" s="11" t="s">
        <v>229</v>
      </c>
      <c r="B12" s="84">
        <v>27</v>
      </c>
    </row>
    <row r="13" s="3" customFormat="1" ht="18" customHeight="1" spans="1:2">
      <c r="A13" s="11" t="s">
        <v>230</v>
      </c>
      <c r="B13" s="84">
        <v>24</v>
      </c>
    </row>
    <row r="14" s="2" customFormat="1" ht="18" customHeight="1" spans="1:2">
      <c r="A14" s="83" t="s">
        <v>55</v>
      </c>
      <c r="B14" s="85">
        <v>3925.26</v>
      </c>
    </row>
    <row r="15" s="4" customFormat="1" ht="18" customHeight="1" spans="1:2">
      <c r="A15" s="86" t="s">
        <v>57</v>
      </c>
      <c r="B15" s="85">
        <v>200.71</v>
      </c>
    </row>
    <row r="16" s="4" customFormat="1" ht="18" customHeight="1" spans="1:2">
      <c r="A16" s="87" t="s">
        <v>58</v>
      </c>
      <c r="B16" s="85">
        <v>0</v>
      </c>
    </row>
    <row r="17" s="1" customFormat="1" ht="18" customHeight="1" spans="1:2">
      <c r="A17" s="87" t="s">
        <v>59</v>
      </c>
      <c r="B17" s="88">
        <v>23.19</v>
      </c>
    </row>
    <row r="18" s="1" customFormat="1" ht="18" customHeight="1" spans="1:2">
      <c r="A18" s="87" t="s">
        <v>60</v>
      </c>
      <c r="B18" s="88">
        <v>22.29</v>
      </c>
    </row>
    <row r="19" s="1" customFormat="1" ht="18" customHeight="1" spans="1:2">
      <c r="A19" s="87" t="s">
        <v>61</v>
      </c>
      <c r="B19" s="88">
        <v>35.44</v>
      </c>
    </row>
    <row r="20" s="1" customFormat="1" ht="18" customHeight="1" spans="1:2">
      <c r="A20" s="87" t="s">
        <v>62</v>
      </c>
      <c r="B20" s="88">
        <v>21.07</v>
      </c>
    </row>
    <row r="21" s="1" customFormat="1" ht="18" customHeight="1" spans="1:2">
      <c r="A21" s="87" t="s">
        <v>63</v>
      </c>
      <c r="B21" s="88">
        <v>22.67</v>
      </c>
    </row>
    <row r="22" s="1" customFormat="1" ht="18" customHeight="1" spans="1:2">
      <c r="A22" s="87" t="s">
        <v>64</v>
      </c>
      <c r="B22" s="88">
        <v>42.1</v>
      </c>
    </row>
    <row r="23" s="1" customFormat="1" ht="18" customHeight="1" spans="1:2">
      <c r="A23" s="87" t="s">
        <v>65</v>
      </c>
      <c r="B23" s="88">
        <v>33.95</v>
      </c>
    </row>
    <row r="24" s="4" customFormat="1" ht="18" customHeight="1" spans="1:2">
      <c r="A24" s="86" t="s">
        <v>67</v>
      </c>
      <c r="B24" s="85">
        <v>9.04</v>
      </c>
    </row>
    <row r="25" s="4" customFormat="1" ht="18" customHeight="1" spans="1:2">
      <c r="A25" s="87" t="s">
        <v>58</v>
      </c>
      <c r="B25" s="88">
        <v>0</v>
      </c>
    </row>
    <row r="26" s="1" customFormat="1" ht="18" customHeight="1" spans="1:2">
      <c r="A26" s="87" t="s">
        <v>68</v>
      </c>
      <c r="B26" s="88">
        <v>9.04</v>
      </c>
    </row>
    <row r="27" s="4" customFormat="1" ht="18" customHeight="1" spans="1:2">
      <c r="A27" s="86" t="s">
        <v>70</v>
      </c>
      <c r="B27" s="85">
        <v>343.3</v>
      </c>
    </row>
    <row r="28" s="4" customFormat="1" ht="18" customHeight="1" spans="1:2">
      <c r="A28" s="87" t="s">
        <v>58</v>
      </c>
      <c r="B28" s="88">
        <v>0</v>
      </c>
    </row>
    <row r="29" s="1" customFormat="1" ht="18" customHeight="1" spans="1:2">
      <c r="A29" s="87" t="s">
        <v>71</v>
      </c>
      <c r="B29" s="88">
        <v>120.25</v>
      </c>
    </row>
    <row r="30" s="1" customFormat="1" ht="18" customHeight="1" spans="1:2">
      <c r="A30" s="87" t="s">
        <v>72</v>
      </c>
      <c r="B30" s="88">
        <v>90.56</v>
      </c>
    </row>
    <row r="31" s="1" customFormat="1" ht="18" customHeight="1" spans="1:2">
      <c r="A31" s="87" t="s">
        <v>73</v>
      </c>
      <c r="B31" s="88">
        <v>72.06</v>
      </c>
    </row>
    <row r="32" s="1" customFormat="1" ht="18" customHeight="1" spans="1:2">
      <c r="A32" s="87" t="s">
        <v>74</v>
      </c>
      <c r="B32" s="88">
        <v>60.43</v>
      </c>
    </row>
    <row r="33" s="4" customFormat="1" ht="18" customHeight="1" spans="1:2">
      <c r="A33" s="86" t="s">
        <v>76</v>
      </c>
      <c r="B33" s="85">
        <v>577.06</v>
      </c>
    </row>
    <row r="34" s="4" customFormat="1" ht="18" customHeight="1" spans="1:2">
      <c r="A34" s="87" t="s">
        <v>58</v>
      </c>
      <c r="B34" s="88">
        <v>0</v>
      </c>
    </row>
    <row r="35" s="1" customFormat="1" ht="18" customHeight="1" spans="1:2">
      <c r="A35" s="87" t="s">
        <v>77</v>
      </c>
      <c r="B35" s="88">
        <v>94.2</v>
      </c>
    </row>
    <row r="36" s="1" customFormat="1" ht="18" customHeight="1" spans="1:2">
      <c r="A36" s="87" t="s">
        <v>78</v>
      </c>
      <c r="B36" s="88">
        <v>85.54</v>
      </c>
    </row>
    <row r="37" s="1" customFormat="1" ht="18" customHeight="1" spans="1:2">
      <c r="A37" s="87" t="s">
        <v>79</v>
      </c>
      <c r="B37" s="88">
        <v>152.1</v>
      </c>
    </row>
    <row r="38" s="1" customFormat="1" ht="18" customHeight="1" spans="1:2">
      <c r="A38" s="87" t="s">
        <v>80</v>
      </c>
      <c r="B38" s="88">
        <v>150.56</v>
      </c>
    </row>
    <row r="39" s="1" customFormat="1" ht="18" customHeight="1" spans="1:2">
      <c r="A39" s="87" t="s">
        <v>81</v>
      </c>
      <c r="B39" s="88">
        <v>94.66</v>
      </c>
    </row>
    <row r="40" s="4" customFormat="1" ht="18" customHeight="1" spans="1:2">
      <c r="A40" s="86" t="s">
        <v>83</v>
      </c>
      <c r="B40" s="85">
        <v>349.03</v>
      </c>
    </row>
    <row r="41" s="4" customFormat="1" ht="18" customHeight="1" spans="1:2">
      <c r="A41" s="87" t="s">
        <v>58</v>
      </c>
      <c r="B41" s="88">
        <v>0</v>
      </c>
    </row>
    <row r="42" s="1" customFormat="1" ht="18" customHeight="1" spans="1:2">
      <c r="A42" s="87" t="s">
        <v>84</v>
      </c>
      <c r="B42" s="88">
        <v>132.45</v>
      </c>
    </row>
    <row r="43" s="1" customFormat="1" ht="18" customHeight="1" spans="1:2">
      <c r="A43" s="87" t="s">
        <v>85</v>
      </c>
      <c r="B43" s="88">
        <v>117.24</v>
      </c>
    </row>
    <row r="44" s="1" customFormat="1" ht="18" customHeight="1" spans="1:2">
      <c r="A44" s="87" t="s">
        <v>86</v>
      </c>
      <c r="B44" s="88">
        <v>99.34</v>
      </c>
    </row>
    <row r="45" s="4" customFormat="1" ht="18" customHeight="1" spans="1:2">
      <c r="A45" s="86" t="s">
        <v>88</v>
      </c>
      <c r="B45" s="85">
        <v>256.48</v>
      </c>
    </row>
    <row r="46" s="4" customFormat="1" ht="18" customHeight="1" spans="1:2">
      <c r="A46" s="87" t="s">
        <v>58</v>
      </c>
      <c r="B46" s="88">
        <v>0</v>
      </c>
    </row>
    <row r="47" s="1" customFormat="1" ht="18" customHeight="1" spans="1:2">
      <c r="A47" s="87" t="s">
        <v>89</v>
      </c>
      <c r="B47" s="88">
        <v>46.81</v>
      </c>
    </row>
    <row r="48" s="1" customFormat="1" ht="18" customHeight="1" spans="1:2">
      <c r="A48" s="87" t="s">
        <v>90</v>
      </c>
      <c r="B48" s="88">
        <v>70.66</v>
      </c>
    </row>
    <row r="49" s="1" customFormat="1" ht="18" customHeight="1" spans="1:2">
      <c r="A49" s="87" t="s">
        <v>91</v>
      </c>
      <c r="B49" s="88">
        <v>35.29</v>
      </c>
    </row>
    <row r="50" s="1" customFormat="1" ht="18" customHeight="1" spans="1:2">
      <c r="A50" s="87" t="s">
        <v>92</v>
      </c>
      <c r="B50" s="88">
        <v>39.61</v>
      </c>
    </row>
    <row r="51" s="1" customFormat="1" ht="18" customHeight="1" spans="1:2">
      <c r="A51" s="87" t="s">
        <v>93</v>
      </c>
      <c r="B51" s="88">
        <v>64.11</v>
      </c>
    </row>
    <row r="52" s="4" customFormat="1" ht="18" customHeight="1" spans="1:2">
      <c r="A52" s="86" t="s">
        <v>95</v>
      </c>
      <c r="B52" s="85">
        <v>318.42</v>
      </c>
    </row>
    <row r="53" s="4" customFormat="1" ht="18" customHeight="1" spans="1:2">
      <c r="A53" s="87" t="s">
        <v>58</v>
      </c>
      <c r="B53" s="88">
        <v>0</v>
      </c>
    </row>
    <row r="54" s="1" customFormat="1" ht="18" customHeight="1" spans="1:2">
      <c r="A54" s="87" t="s">
        <v>96</v>
      </c>
      <c r="B54" s="88">
        <v>155.56</v>
      </c>
    </row>
    <row r="55" s="1" customFormat="1" ht="18" customHeight="1" spans="1:2">
      <c r="A55" s="87" t="s">
        <v>97</v>
      </c>
      <c r="B55" s="88">
        <v>130.55</v>
      </c>
    </row>
    <row r="56" s="1" customFormat="1" ht="18" customHeight="1" spans="1:2">
      <c r="A56" s="87" t="s">
        <v>98</v>
      </c>
      <c r="B56" s="88">
        <v>32.31</v>
      </c>
    </row>
    <row r="57" s="4" customFormat="1" ht="18" customHeight="1" spans="1:2">
      <c r="A57" s="86" t="s">
        <v>100</v>
      </c>
      <c r="B57" s="85">
        <v>323.8</v>
      </c>
    </row>
    <row r="58" s="4" customFormat="1" ht="18" customHeight="1" spans="1:2">
      <c r="A58" s="87" t="s">
        <v>58</v>
      </c>
      <c r="B58" s="88">
        <v>0</v>
      </c>
    </row>
    <row r="59" s="1" customFormat="1" ht="18" customHeight="1" spans="1:2">
      <c r="A59" s="87" t="s">
        <v>101</v>
      </c>
      <c r="B59" s="88">
        <v>15.58</v>
      </c>
    </row>
    <row r="60" s="1" customFormat="1" ht="18" customHeight="1" spans="1:2">
      <c r="A60" s="87" t="s">
        <v>102</v>
      </c>
      <c r="B60" s="88">
        <v>56.2</v>
      </c>
    </row>
    <row r="61" s="1" customFormat="1" ht="18" customHeight="1" spans="1:2">
      <c r="A61" s="87" t="s">
        <v>103</v>
      </c>
      <c r="B61" s="88">
        <v>122.99</v>
      </c>
    </row>
    <row r="62" s="1" customFormat="1" ht="18" customHeight="1" spans="1:2">
      <c r="A62" s="87" t="s">
        <v>104</v>
      </c>
      <c r="B62" s="88">
        <v>17.73</v>
      </c>
    </row>
    <row r="63" s="1" customFormat="1" ht="18" customHeight="1" spans="1:2">
      <c r="A63" s="87" t="s">
        <v>105</v>
      </c>
      <c r="B63" s="88">
        <v>20.98</v>
      </c>
    </row>
    <row r="64" s="1" customFormat="1" ht="18" customHeight="1" spans="1:2">
      <c r="A64" s="87" t="s">
        <v>106</v>
      </c>
      <c r="B64" s="88">
        <v>90.32</v>
      </c>
    </row>
    <row r="65" s="4" customFormat="1" ht="18" customHeight="1" spans="1:2">
      <c r="A65" s="86" t="s">
        <v>108</v>
      </c>
      <c r="B65" s="85">
        <v>256.2</v>
      </c>
    </row>
    <row r="66" s="4" customFormat="1" ht="18" customHeight="1" spans="1:2">
      <c r="A66" s="87" t="s">
        <v>58</v>
      </c>
      <c r="B66" s="88">
        <v>0</v>
      </c>
    </row>
    <row r="67" s="1" customFormat="1" ht="18" customHeight="1" spans="1:2">
      <c r="A67" s="87" t="s">
        <v>109</v>
      </c>
      <c r="B67" s="88">
        <v>93.29</v>
      </c>
    </row>
    <row r="68" s="1" customFormat="1" ht="18" customHeight="1" spans="1:2">
      <c r="A68" s="87" t="s">
        <v>110</v>
      </c>
      <c r="B68" s="88">
        <v>20.01</v>
      </c>
    </row>
    <row r="69" s="1" customFormat="1" ht="18" customHeight="1" spans="1:2">
      <c r="A69" s="87" t="s">
        <v>111</v>
      </c>
      <c r="B69" s="88">
        <v>142.9</v>
      </c>
    </row>
    <row r="70" s="4" customFormat="1" ht="18" customHeight="1" spans="1:2">
      <c r="A70" s="86" t="s">
        <v>113</v>
      </c>
      <c r="B70" s="85">
        <v>237.71</v>
      </c>
    </row>
    <row r="71" s="4" customFormat="1" ht="18" customHeight="1" spans="1:2">
      <c r="A71" s="87" t="s">
        <v>58</v>
      </c>
      <c r="B71" s="88">
        <v>0</v>
      </c>
    </row>
    <row r="72" s="1" customFormat="1" ht="18" customHeight="1" spans="1:2">
      <c r="A72" s="87" t="s">
        <v>114</v>
      </c>
      <c r="B72" s="88">
        <v>58.75</v>
      </c>
    </row>
    <row r="73" s="1" customFormat="1" ht="18" customHeight="1" spans="1:2">
      <c r="A73" s="87" t="s">
        <v>115</v>
      </c>
      <c r="B73" s="88">
        <v>63.35</v>
      </c>
    </row>
    <row r="74" s="1" customFormat="1" ht="18" customHeight="1" spans="1:2">
      <c r="A74" s="87" t="s">
        <v>116</v>
      </c>
      <c r="B74" s="88">
        <v>33.58</v>
      </c>
    </row>
    <row r="75" s="1" customFormat="1" ht="18" customHeight="1" spans="1:2">
      <c r="A75" s="87" t="s">
        <v>117</v>
      </c>
      <c r="B75" s="88">
        <v>40.93</v>
      </c>
    </row>
    <row r="76" s="1" customFormat="1" ht="18" customHeight="1" spans="1:2">
      <c r="A76" s="87" t="s">
        <v>118</v>
      </c>
      <c r="B76" s="88">
        <v>41.1</v>
      </c>
    </row>
    <row r="77" s="4" customFormat="1" ht="18" customHeight="1" spans="1:2">
      <c r="A77" s="86" t="s">
        <v>120</v>
      </c>
      <c r="B77" s="85">
        <v>159.05</v>
      </c>
    </row>
    <row r="78" s="4" customFormat="1" ht="18" customHeight="1" spans="1:2">
      <c r="A78" s="87" t="s">
        <v>58</v>
      </c>
      <c r="B78" s="88">
        <v>0</v>
      </c>
    </row>
    <row r="79" s="1" customFormat="1" ht="18" customHeight="1" spans="1:2">
      <c r="A79" s="87" t="s">
        <v>121</v>
      </c>
      <c r="B79" s="88">
        <v>56.67</v>
      </c>
    </row>
    <row r="80" s="1" customFormat="1" ht="18" customHeight="1" spans="1:2">
      <c r="A80" s="87" t="s">
        <v>122</v>
      </c>
      <c r="B80" s="88">
        <v>102.38</v>
      </c>
    </row>
    <row r="81" s="4" customFormat="1" ht="18" customHeight="1" spans="1:2">
      <c r="A81" s="86" t="s">
        <v>123</v>
      </c>
      <c r="B81" s="85">
        <v>226.3</v>
      </c>
    </row>
    <row r="82" s="4" customFormat="1" ht="18" customHeight="1" spans="1:2">
      <c r="A82" s="87" t="s">
        <v>58</v>
      </c>
      <c r="B82" s="88">
        <v>0</v>
      </c>
    </row>
    <row r="83" s="1" customFormat="1" ht="18" customHeight="1" spans="1:2">
      <c r="A83" s="87" t="s">
        <v>125</v>
      </c>
      <c r="B83" s="88">
        <v>38.26</v>
      </c>
    </row>
    <row r="84" s="1" customFormat="1" ht="18" customHeight="1" spans="1:2">
      <c r="A84" s="87" t="s">
        <v>126</v>
      </c>
      <c r="B84" s="88">
        <v>41.56</v>
      </c>
    </row>
    <row r="85" s="1" customFormat="1" ht="18" customHeight="1" spans="1:2">
      <c r="A85" s="87" t="s">
        <v>127</v>
      </c>
      <c r="B85" s="88">
        <v>10.24</v>
      </c>
    </row>
    <row r="86" s="1" customFormat="1" ht="18" customHeight="1" spans="1:2">
      <c r="A86" s="87" t="s">
        <v>128</v>
      </c>
      <c r="B86" s="88">
        <v>11.6</v>
      </c>
    </row>
    <row r="87" s="1" customFormat="1" ht="18" customHeight="1" spans="1:2">
      <c r="A87" s="87" t="s">
        <v>129</v>
      </c>
      <c r="B87" s="88">
        <v>86.61</v>
      </c>
    </row>
    <row r="88" s="1" customFormat="1" ht="18" customHeight="1" spans="1:2">
      <c r="A88" s="87" t="s">
        <v>130</v>
      </c>
      <c r="B88" s="88">
        <v>38.03</v>
      </c>
    </row>
    <row r="89" s="4" customFormat="1" ht="18" customHeight="1" spans="1:2">
      <c r="A89" s="86" t="s">
        <v>132</v>
      </c>
      <c r="B89" s="85">
        <v>114.14</v>
      </c>
    </row>
    <row r="90" s="4" customFormat="1" ht="18" customHeight="1" spans="1:2">
      <c r="A90" s="87" t="s">
        <v>58</v>
      </c>
      <c r="B90" s="82">
        <v>0</v>
      </c>
    </row>
    <row r="91" s="1" customFormat="1" ht="18" customHeight="1" spans="1:2">
      <c r="A91" s="87" t="s">
        <v>133</v>
      </c>
      <c r="B91" s="88">
        <v>114.14</v>
      </c>
    </row>
    <row r="92" s="4" customFormat="1" ht="18" customHeight="1" spans="1:2">
      <c r="A92" s="86" t="s">
        <v>135</v>
      </c>
      <c r="B92" s="85">
        <v>385.21</v>
      </c>
    </row>
    <row r="93" s="4" customFormat="1" ht="18" customHeight="1" spans="1:2">
      <c r="A93" s="87" t="s">
        <v>58</v>
      </c>
      <c r="B93" s="88">
        <v>0</v>
      </c>
    </row>
    <row r="94" s="1" customFormat="1" ht="18" customHeight="1" spans="1:2">
      <c r="A94" s="87" t="s">
        <v>136</v>
      </c>
      <c r="B94" s="88">
        <v>72.69</v>
      </c>
    </row>
    <row r="95" s="1" customFormat="1" ht="18" customHeight="1" spans="1:2">
      <c r="A95" s="87" t="s">
        <v>137</v>
      </c>
      <c r="B95" s="88">
        <v>109.2</v>
      </c>
    </row>
    <row r="96" s="1" customFormat="1" ht="18" customHeight="1" spans="1:2">
      <c r="A96" s="87" t="s">
        <v>138</v>
      </c>
      <c r="B96" s="88">
        <v>203.32</v>
      </c>
    </row>
    <row r="97" s="4" customFormat="1" ht="18" customHeight="1" spans="1:2">
      <c r="A97" s="86" t="s">
        <v>140</v>
      </c>
      <c r="B97" s="85">
        <v>168.81</v>
      </c>
    </row>
    <row r="98" s="4" customFormat="1" ht="18" customHeight="1" spans="1:2">
      <c r="A98" s="87" t="s">
        <v>58</v>
      </c>
      <c r="B98" s="88">
        <v>0</v>
      </c>
    </row>
    <row r="99" s="1" customFormat="1" ht="18" customHeight="1" spans="1:2">
      <c r="A99" s="87" t="s">
        <v>141</v>
      </c>
      <c r="B99" s="88">
        <v>49.74</v>
      </c>
    </row>
    <row r="100" s="1" customFormat="1" ht="18" customHeight="1" spans="1:2">
      <c r="A100" s="87" t="s">
        <v>142</v>
      </c>
      <c r="B100" s="88">
        <v>38.86</v>
      </c>
    </row>
    <row r="101" s="1" customFormat="1" ht="18" customHeight="1" spans="1:2">
      <c r="A101" s="87" t="s">
        <v>143</v>
      </c>
      <c r="B101" s="88">
        <v>80.21</v>
      </c>
    </row>
    <row r="102" s="1" customFormat="1" spans="1:2">
      <c r="A102" s="76"/>
      <c r="B102" s="76"/>
    </row>
    <row r="103" s="1" customFormat="1" ht="16" customHeight="1" spans="1:2">
      <c r="A103" s="89"/>
      <c r="B103" s="76"/>
    </row>
    <row r="104" s="1" customFormat="1" ht="16" customHeight="1" spans="1:2">
      <c r="A104" s="89"/>
      <c r="B104" s="76"/>
    </row>
    <row r="105" s="1" customFormat="1" ht="16" customHeight="1" spans="1:2">
      <c r="A105" s="89"/>
      <c r="B105" s="76"/>
    </row>
    <row r="106" s="1" customFormat="1" ht="16" customHeight="1" spans="1:2">
      <c r="A106" s="89"/>
      <c r="B106" s="76"/>
    </row>
    <row r="107" s="1" customFormat="1" ht="16" customHeight="1" spans="1:2">
      <c r="A107" s="89"/>
      <c r="B107" s="76"/>
    </row>
    <row r="108" s="1" customFormat="1" ht="16" customHeight="1" spans="1:2">
      <c r="A108" s="89"/>
      <c r="B108" s="76"/>
    </row>
    <row r="109" s="1" customFormat="1" ht="16" customHeight="1" spans="1:2">
      <c r="A109" s="89"/>
      <c r="B109" s="76"/>
    </row>
    <row r="110" s="1" customFormat="1" spans="1:2">
      <c r="A110" s="76"/>
      <c r="B110" s="76"/>
    </row>
  </sheetData>
  <mergeCells count="1">
    <mergeCell ref="A2:B2"/>
  </mergeCells>
  <printOptions horizontalCentered="1"/>
  <pageMargins left="0.472222222222222" right="0.472222222222222" top="0.590277777777778" bottom="0.590277777777778" header="0.5" footer="0.5"/>
  <pageSetup paperSize="9" scale="75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89"/>
  <sheetViews>
    <sheetView workbookViewId="0">
      <selection activeCell="P20" sqref="P20"/>
    </sheetView>
  </sheetViews>
  <sheetFormatPr defaultColWidth="9" defaultRowHeight="15"/>
  <cols>
    <col min="1" max="1" width="7.50833333333333" style="50" customWidth="1"/>
    <col min="2" max="4" width="14.2" style="50" hidden="1" customWidth="1"/>
    <col min="5" max="5" width="11.5083333333333" style="50" hidden="1" customWidth="1"/>
    <col min="6" max="6" width="9.66666666666667" style="50"/>
    <col min="7" max="7" width="1.1" style="50" customWidth="1"/>
    <col min="8" max="9" width="20.6" style="50" customWidth="1"/>
    <col min="10" max="12" width="14.2" style="50" customWidth="1"/>
    <col min="13" max="13" width="11.5083333333333" style="50" customWidth="1"/>
    <col min="14" max="16" width="11.375" style="50" customWidth="1"/>
    <col min="17" max="20" width="9" style="50"/>
    <col min="21" max="21" width="22.375" style="52" customWidth="1"/>
    <col min="22" max="209" width="9" style="50"/>
    <col min="210" max="16384" width="9" style="51"/>
  </cols>
  <sheetData>
    <row r="1" s="50" customFormat="1" ht="18.75" spans="1:25">
      <c r="A1" s="53" t="s">
        <v>231</v>
      </c>
      <c r="B1" s="54"/>
      <c r="C1" s="54"/>
      <c r="D1" s="54"/>
      <c r="E1" s="54"/>
      <c r="F1" s="54"/>
      <c r="G1" s="55"/>
      <c r="H1" s="54" t="s">
        <v>231</v>
      </c>
      <c r="I1" s="54"/>
      <c r="J1" s="54"/>
      <c r="K1" s="54"/>
      <c r="L1" s="54"/>
      <c r="M1" s="54"/>
      <c r="N1" s="54"/>
      <c r="O1" s="61"/>
      <c r="P1" s="61"/>
      <c r="U1" s="68" t="s">
        <v>1</v>
      </c>
      <c r="V1" s="69" t="s">
        <v>232</v>
      </c>
      <c r="W1" s="50">
        <v>20564354</v>
      </c>
      <c r="X1" s="69" t="s">
        <v>233</v>
      </c>
      <c r="Y1" s="50">
        <v>37638310</v>
      </c>
    </row>
    <row r="2" s="50" customFormat="1" ht="18.75" spans="1:21">
      <c r="A2" s="56" t="s">
        <v>234</v>
      </c>
      <c r="B2" s="56" t="s">
        <v>235</v>
      </c>
      <c r="C2" s="56" t="s">
        <v>236</v>
      </c>
      <c r="D2" s="56" t="s">
        <v>237</v>
      </c>
      <c r="E2" s="56" t="s">
        <v>238</v>
      </c>
      <c r="F2" s="56" t="s">
        <v>23</v>
      </c>
      <c r="G2" s="55"/>
      <c r="H2" s="57" t="s">
        <v>234</v>
      </c>
      <c r="I2" s="57" t="s">
        <v>239</v>
      </c>
      <c r="J2" s="57" t="s">
        <v>235</v>
      </c>
      <c r="K2" s="57" t="s">
        <v>236</v>
      </c>
      <c r="L2" s="57" t="s">
        <v>237</v>
      </c>
      <c r="M2" s="57" t="s">
        <v>238</v>
      </c>
      <c r="N2" s="57" t="s">
        <v>23</v>
      </c>
      <c r="O2" s="62" t="s">
        <v>240</v>
      </c>
      <c r="P2" s="62" t="s">
        <v>241</v>
      </c>
      <c r="Q2" s="69" t="s">
        <v>242</v>
      </c>
      <c r="R2" s="69" t="s">
        <v>243</v>
      </c>
      <c r="S2" s="69" t="s">
        <v>234</v>
      </c>
      <c r="U2" s="70"/>
    </row>
    <row r="3" s="50" customFormat="1" spans="1:21">
      <c r="A3" s="58" t="s">
        <v>244</v>
      </c>
      <c r="B3" s="59">
        <v>566036</v>
      </c>
      <c r="C3" s="59">
        <v>3376863</v>
      </c>
      <c r="D3" s="59">
        <v>13753280</v>
      </c>
      <c r="E3" s="59">
        <v>184396</v>
      </c>
      <c r="F3" s="59">
        <v>17880575</v>
      </c>
      <c r="H3" s="58" t="s">
        <v>244</v>
      </c>
      <c r="I3" s="58" t="s">
        <v>245</v>
      </c>
      <c r="J3" s="59">
        <v>33585</v>
      </c>
      <c r="K3" s="59">
        <v>226658</v>
      </c>
      <c r="L3" s="59">
        <v>837243</v>
      </c>
      <c r="M3" s="59">
        <v>7251</v>
      </c>
      <c r="N3" s="59">
        <v>1104737</v>
      </c>
      <c r="O3" s="63">
        <v>915760</v>
      </c>
      <c r="P3" s="63">
        <f>O3-N3</f>
        <v>-188977</v>
      </c>
      <c r="S3" s="69" t="s">
        <v>244</v>
      </c>
      <c r="U3" s="68"/>
    </row>
    <row r="4" s="50" customFormat="1" ht="14.25" spans="1:22">
      <c r="A4" s="58" t="s">
        <v>57</v>
      </c>
      <c r="B4" s="59">
        <v>57935</v>
      </c>
      <c r="C4" s="59">
        <v>268875</v>
      </c>
      <c r="D4" s="59">
        <v>1437226</v>
      </c>
      <c r="E4" s="59">
        <v>80035</v>
      </c>
      <c r="F4" s="59">
        <v>1844071</v>
      </c>
      <c r="H4" s="58" t="s">
        <v>244</v>
      </c>
      <c r="I4" s="58" t="s">
        <v>246</v>
      </c>
      <c r="J4" s="59">
        <v>27635</v>
      </c>
      <c r="K4" s="59">
        <v>162379</v>
      </c>
      <c r="L4" s="59">
        <v>746008</v>
      </c>
      <c r="M4" s="59">
        <v>18618</v>
      </c>
      <c r="N4" s="59">
        <v>954640</v>
      </c>
      <c r="O4" s="63">
        <v>751978</v>
      </c>
      <c r="P4" s="63">
        <f t="shared" ref="P4:P35" si="0">O4-N4</f>
        <v>-202662</v>
      </c>
      <c r="S4" s="69" t="s">
        <v>244</v>
      </c>
      <c r="U4" s="16" t="s">
        <v>47</v>
      </c>
      <c r="V4" s="50">
        <v>1</v>
      </c>
    </row>
    <row r="5" s="50" customFormat="1" ht="14.25" spans="1:22">
      <c r="A5" s="58" t="s">
        <v>247</v>
      </c>
      <c r="B5" s="59">
        <v>755102</v>
      </c>
      <c r="C5" s="59">
        <v>3350078</v>
      </c>
      <c r="D5" s="59">
        <v>13035295</v>
      </c>
      <c r="E5" s="59">
        <v>128049</v>
      </c>
      <c r="F5" s="59">
        <v>17268524</v>
      </c>
      <c r="H5" s="58" t="s">
        <v>244</v>
      </c>
      <c r="I5" s="58" t="s">
        <v>248</v>
      </c>
      <c r="J5" s="59">
        <v>73962</v>
      </c>
      <c r="K5" s="59">
        <v>426149</v>
      </c>
      <c r="L5" s="59">
        <v>1441835</v>
      </c>
      <c r="M5" s="59">
        <v>9761</v>
      </c>
      <c r="N5" s="59">
        <v>1951707</v>
      </c>
      <c r="O5" s="63">
        <v>1408092</v>
      </c>
      <c r="P5" s="63">
        <f t="shared" si="0"/>
        <v>-543615</v>
      </c>
      <c r="S5" s="69" t="s">
        <v>244</v>
      </c>
      <c r="U5" s="15" t="s">
        <v>48</v>
      </c>
      <c r="V5" s="50">
        <v>1</v>
      </c>
    </row>
    <row r="6" s="50" customFormat="1" ht="14.25" spans="1:22">
      <c r="A6" s="58" t="s">
        <v>249</v>
      </c>
      <c r="B6" s="59">
        <v>89200</v>
      </c>
      <c r="C6" s="59">
        <v>437844</v>
      </c>
      <c r="D6" s="59">
        <v>1797636</v>
      </c>
      <c r="E6" s="59">
        <v>114822</v>
      </c>
      <c r="F6" s="59">
        <v>2439502</v>
      </c>
      <c r="H6" s="58" t="s">
        <v>244</v>
      </c>
      <c r="I6" s="58" t="s">
        <v>250</v>
      </c>
      <c r="J6" s="59">
        <v>64842</v>
      </c>
      <c r="K6" s="59">
        <v>476840</v>
      </c>
      <c r="L6" s="59">
        <v>1478189</v>
      </c>
      <c r="M6" s="59">
        <v>19222</v>
      </c>
      <c r="N6" s="59">
        <v>2039093</v>
      </c>
      <c r="O6" s="63">
        <v>1752622</v>
      </c>
      <c r="P6" s="63">
        <f t="shared" si="0"/>
        <v>-286471</v>
      </c>
      <c r="S6" s="69" t="s">
        <v>244</v>
      </c>
      <c r="U6" s="18" t="s">
        <v>251</v>
      </c>
      <c r="V6" s="50">
        <v>1</v>
      </c>
    </row>
    <row r="7" s="50" customFormat="1" ht="14.25" spans="1:22">
      <c r="A7" s="58" t="s">
        <v>67</v>
      </c>
      <c r="B7" s="59">
        <v>154402</v>
      </c>
      <c r="C7" s="59">
        <v>686345</v>
      </c>
      <c r="D7" s="59">
        <v>2953495</v>
      </c>
      <c r="E7" s="59">
        <v>25630</v>
      </c>
      <c r="F7" s="59">
        <v>3819872</v>
      </c>
      <c r="H7" s="58" t="s">
        <v>244</v>
      </c>
      <c r="I7" s="58" t="s">
        <v>252</v>
      </c>
      <c r="J7" s="59">
        <v>110604</v>
      </c>
      <c r="K7" s="59">
        <v>732075</v>
      </c>
      <c r="L7" s="59">
        <v>2628568</v>
      </c>
      <c r="M7" s="59">
        <v>16534</v>
      </c>
      <c r="N7" s="59">
        <v>3487781</v>
      </c>
      <c r="O7" s="63">
        <v>2947313</v>
      </c>
      <c r="P7" s="63">
        <f t="shared" si="0"/>
        <v>-540468</v>
      </c>
      <c r="S7" s="69" t="s">
        <v>244</v>
      </c>
      <c r="U7" s="15" t="s">
        <v>55</v>
      </c>
      <c r="V7" s="50">
        <v>1</v>
      </c>
    </row>
    <row r="8" s="50" customFormat="1" ht="14.25" spans="1:22">
      <c r="A8" s="58" t="s">
        <v>253</v>
      </c>
      <c r="B8" s="59">
        <v>284894</v>
      </c>
      <c r="C8" s="59">
        <v>1579040</v>
      </c>
      <c r="D8" s="59">
        <v>6974014</v>
      </c>
      <c r="E8" s="59">
        <v>133007</v>
      </c>
      <c r="F8" s="59">
        <v>8970955</v>
      </c>
      <c r="H8" s="58" t="s">
        <v>244</v>
      </c>
      <c r="I8" s="58" t="s">
        <v>254</v>
      </c>
      <c r="J8" s="59">
        <v>41283</v>
      </c>
      <c r="K8" s="59">
        <v>239157</v>
      </c>
      <c r="L8" s="59">
        <v>1029359</v>
      </c>
      <c r="M8" s="59">
        <v>12174</v>
      </c>
      <c r="N8" s="59">
        <v>1321973</v>
      </c>
      <c r="O8" s="63">
        <v>977833</v>
      </c>
      <c r="P8" s="63">
        <f t="shared" si="0"/>
        <v>-344140</v>
      </c>
      <c r="S8" s="69" t="s">
        <v>244</v>
      </c>
      <c r="U8" s="23" t="s">
        <v>57</v>
      </c>
      <c r="V8" s="50">
        <v>1</v>
      </c>
    </row>
    <row r="9" s="50" customFormat="1" spans="1:22">
      <c r="A9" s="58" t="s">
        <v>70</v>
      </c>
      <c r="B9" s="59">
        <v>101953</v>
      </c>
      <c r="C9" s="59">
        <v>590846</v>
      </c>
      <c r="D9" s="59">
        <v>2898397</v>
      </c>
      <c r="E9" s="59">
        <v>72331</v>
      </c>
      <c r="F9" s="59">
        <v>3663527</v>
      </c>
      <c r="H9" s="58" t="s">
        <v>244</v>
      </c>
      <c r="I9" s="58" t="s">
        <v>255</v>
      </c>
      <c r="J9" s="59">
        <v>85377</v>
      </c>
      <c r="K9" s="59">
        <v>471558</v>
      </c>
      <c r="L9" s="59">
        <v>1940171</v>
      </c>
      <c r="M9" s="59">
        <v>26426</v>
      </c>
      <c r="N9" s="59">
        <v>2523532</v>
      </c>
      <c r="O9" s="63">
        <v>2081533</v>
      </c>
      <c r="P9" s="63">
        <f t="shared" si="0"/>
        <v>-441999</v>
      </c>
      <c r="S9" s="69" t="s">
        <v>244</v>
      </c>
      <c r="U9" s="71" t="s">
        <v>58</v>
      </c>
      <c r="V9" s="50">
        <v>1</v>
      </c>
    </row>
    <row r="10" s="50" customFormat="1" spans="1:22">
      <c r="A10" s="58" t="s">
        <v>76</v>
      </c>
      <c r="B10" s="59">
        <v>118018</v>
      </c>
      <c r="C10" s="59">
        <v>611567</v>
      </c>
      <c r="D10" s="59">
        <v>3006754</v>
      </c>
      <c r="E10" s="59">
        <v>255013</v>
      </c>
      <c r="F10" s="59">
        <v>3991352</v>
      </c>
      <c r="H10" s="58" t="s">
        <v>244</v>
      </c>
      <c r="I10" s="58" t="s">
        <v>256</v>
      </c>
      <c r="J10" s="59">
        <v>44333</v>
      </c>
      <c r="K10" s="59">
        <v>199192</v>
      </c>
      <c r="L10" s="59">
        <v>1312138</v>
      </c>
      <c r="M10" s="59">
        <v>20325</v>
      </c>
      <c r="N10" s="59">
        <v>1575988</v>
      </c>
      <c r="O10" s="63">
        <v>1219241</v>
      </c>
      <c r="P10" s="63">
        <f t="shared" si="0"/>
        <v>-356747</v>
      </c>
      <c r="S10" s="69" t="s">
        <v>244</v>
      </c>
      <c r="U10" s="71" t="s">
        <v>257</v>
      </c>
      <c r="V10" s="50">
        <v>1</v>
      </c>
    </row>
    <row r="11" s="50" customFormat="1" spans="1:22">
      <c r="A11" s="58" t="s">
        <v>83</v>
      </c>
      <c r="B11" s="59">
        <v>90126</v>
      </c>
      <c r="C11" s="59">
        <v>452328</v>
      </c>
      <c r="D11" s="59">
        <v>2452413</v>
      </c>
      <c r="E11" s="59">
        <v>260809</v>
      </c>
      <c r="F11" s="59">
        <v>3255676</v>
      </c>
      <c r="H11" s="58" t="s">
        <v>244</v>
      </c>
      <c r="I11" s="58" t="s">
        <v>258</v>
      </c>
      <c r="J11" s="59">
        <v>27288</v>
      </c>
      <c r="K11" s="59">
        <v>145175</v>
      </c>
      <c r="L11" s="59">
        <v>673693</v>
      </c>
      <c r="M11" s="59">
        <v>27659</v>
      </c>
      <c r="N11" s="59">
        <v>873815</v>
      </c>
      <c r="O11" s="63">
        <v>651341</v>
      </c>
      <c r="P11" s="63">
        <f t="shared" si="0"/>
        <v>-222474</v>
      </c>
      <c r="S11" s="69" t="s">
        <v>244</v>
      </c>
      <c r="U11" s="71" t="s">
        <v>259</v>
      </c>
      <c r="V11" s="50">
        <v>1</v>
      </c>
    </row>
    <row r="12" s="50" customFormat="1" spans="1:22">
      <c r="A12" s="58" t="s">
        <v>88</v>
      </c>
      <c r="B12" s="59">
        <v>76165</v>
      </c>
      <c r="C12" s="59">
        <v>408825</v>
      </c>
      <c r="D12" s="59">
        <v>2165578</v>
      </c>
      <c r="E12" s="59">
        <v>30588</v>
      </c>
      <c r="F12" s="59">
        <v>2681156</v>
      </c>
      <c r="H12" s="58" t="s">
        <v>244</v>
      </c>
      <c r="I12" s="58" t="s">
        <v>260</v>
      </c>
      <c r="J12" s="59">
        <v>45315</v>
      </c>
      <c r="K12" s="59">
        <v>228945</v>
      </c>
      <c r="L12" s="59">
        <v>1219923</v>
      </c>
      <c r="M12" s="59">
        <v>18992</v>
      </c>
      <c r="N12" s="59">
        <v>1513175</v>
      </c>
      <c r="O12" s="63">
        <v>1037619</v>
      </c>
      <c r="P12" s="63">
        <f t="shared" si="0"/>
        <v>-475556</v>
      </c>
      <c r="S12" s="69" t="s">
        <v>244</v>
      </c>
      <c r="U12" s="71" t="s">
        <v>261</v>
      </c>
      <c r="V12" s="50">
        <v>1</v>
      </c>
    </row>
    <row r="13" s="50" customFormat="1" spans="1:22">
      <c r="A13" s="58" t="s">
        <v>95</v>
      </c>
      <c r="B13" s="59">
        <v>206250</v>
      </c>
      <c r="C13" s="59">
        <v>1119620</v>
      </c>
      <c r="D13" s="59">
        <v>4170681</v>
      </c>
      <c r="E13" s="59">
        <v>62896</v>
      </c>
      <c r="F13" s="59">
        <v>5559447</v>
      </c>
      <c r="H13" s="58" t="s">
        <v>244</v>
      </c>
      <c r="I13" s="58" t="s">
        <v>262</v>
      </c>
      <c r="J13" s="59">
        <v>11812</v>
      </c>
      <c r="K13" s="59">
        <v>68779</v>
      </c>
      <c r="L13" s="59">
        <v>446227</v>
      </c>
      <c r="M13" s="59">
        <v>7316</v>
      </c>
      <c r="N13" s="59">
        <v>534134</v>
      </c>
      <c r="O13" s="63">
        <v>475807</v>
      </c>
      <c r="P13" s="63">
        <f t="shared" si="0"/>
        <v>-58327</v>
      </c>
      <c r="S13" s="69" t="s">
        <v>244</v>
      </c>
      <c r="U13" s="71" t="s">
        <v>263</v>
      </c>
      <c r="V13" s="50">
        <v>1</v>
      </c>
    </row>
    <row r="14" s="50" customFormat="1" spans="1:22">
      <c r="A14" s="58" t="s">
        <v>100</v>
      </c>
      <c r="B14" s="59">
        <v>56671</v>
      </c>
      <c r="C14" s="59">
        <v>272669</v>
      </c>
      <c r="D14" s="59">
        <v>1828731</v>
      </c>
      <c r="E14" s="59">
        <v>48933</v>
      </c>
      <c r="F14" s="59">
        <v>2207004</v>
      </c>
      <c r="H14" s="58" t="s">
        <v>57</v>
      </c>
      <c r="I14" s="58" t="s">
        <v>264</v>
      </c>
      <c r="J14" s="59">
        <v>14228</v>
      </c>
      <c r="K14" s="59">
        <v>52475</v>
      </c>
      <c r="L14" s="59">
        <v>186755</v>
      </c>
      <c r="M14" s="59">
        <v>7985</v>
      </c>
      <c r="N14" s="59">
        <v>261443</v>
      </c>
      <c r="O14" s="63">
        <v>253974</v>
      </c>
      <c r="P14" s="63">
        <f t="shared" si="0"/>
        <v>-7469</v>
      </c>
      <c r="R14" s="50">
        <v>1</v>
      </c>
      <c r="S14" s="69" t="s">
        <v>57</v>
      </c>
      <c r="U14" s="71" t="s">
        <v>265</v>
      </c>
      <c r="V14" s="50">
        <v>1</v>
      </c>
    </row>
    <row r="15" s="50" customFormat="1" spans="1:22">
      <c r="A15" s="58" t="s">
        <v>108</v>
      </c>
      <c r="B15" s="59">
        <v>72143</v>
      </c>
      <c r="C15" s="59">
        <v>295095</v>
      </c>
      <c r="D15" s="59">
        <v>1188296</v>
      </c>
      <c r="E15" s="59">
        <v>89617</v>
      </c>
      <c r="F15" s="59">
        <v>1645151</v>
      </c>
      <c r="H15" s="58" t="s">
        <v>57</v>
      </c>
      <c r="I15" s="58" t="s">
        <v>266</v>
      </c>
      <c r="J15" s="59">
        <v>9279</v>
      </c>
      <c r="K15" s="59">
        <v>46760</v>
      </c>
      <c r="L15" s="59">
        <v>212025</v>
      </c>
      <c r="M15" s="59">
        <v>9926</v>
      </c>
      <c r="N15" s="59">
        <v>277990</v>
      </c>
      <c r="O15" s="63">
        <v>245150</v>
      </c>
      <c r="P15" s="63">
        <f t="shared" si="0"/>
        <v>-32840</v>
      </c>
      <c r="R15" s="50">
        <v>1</v>
      </c>
      <c r="S15" s="69" t="s">
        <v>57</v>
      </c>
      <c r="U15" s="71" t="s">
        <v>267</v>
      </c>
      <c r="V15" s="50">
        <v>1</v>
      </c>
    </row>
    <row r="16" s="50" customFormat="1" spans="1:22">
      <c r="A16" s="58" t="s">
        <v>113</v>
      </c>
      <c r="B16" s="59">
        <v>55838</v>
      </c>
      <c r="C16" s="59">
        <v>288003</v>
      </c>
      <c r="D16" s="59">
        <v>1343167</v>
      </c>
      <c r="E16" s="59">
        <v>29329</v>
      </c>
      <c r="F16" s="59">
        <v>1716337</v>
      </c>
      <c r="H16" s="58" t="s">
        <v>57</v>
      </c>
      <c r="I16" s="58" t="s">
        <v>268</v>
      </c>
      <c r="J16" s="59">
        <v>5742</v>
      </c>
      <c r="K16" s="59">
        <v>31575</v>
      </c>
      <c r="L16" s="59">
        <v>158587</v>
      </c>
      <c r="M16" s="59">
        <v>6992</v>
      </c>
      <c r="N16" s="59">
        <v>202896</v>
      </c>
      <c r="O16" s="63">
        <v>192701</v>
      </c>
      <c r="P16" s="63">
        <f t="shared" si="0"/>
        <v>-10195</v>
      </c>
      <c r="R16" s="50">
        <v>1</v>
      </c>
      <c r="S16" s="69" t="s">
        <v>57</v>
      </c>
      <c r="U16" s="71" t="s">
        <v>269</v>
      </c>
      <c r="V16" s="50">
        <v>1</v>
      </c>
    </row>
    <row r="17" s="50" customFormat="1" ht="14.25" spans="1:22">
      <c r="A17" s="58" t="s">
        <v>120</v>
      </c>
      <c r="B17" s="59">
        <v>43286</v>
      </c>
      <c r="C17" s="59">
        <v>280264</v>
      </c>
      <c r="D17" s="59">
        <v>1297907</v>
      </c>
      <c r="E17" s="59">
        <v>85716</v>
      </c>
      <c r="F17" s="59">
        <v>1707173</v>
      </c>
      <c r="H17" s="58" t="s">
        <v>57</v>
      </c>
      <c r="I17" s="58" t="s">
        <v>257</v>
      </c>
      <c r="J17" s="59">
        <v>3512</v>
      </c>
      <c r="K17" s="59">
        <v>12921</v>
      </c>
      <c r="L17" s="59">
        <v>100595</v>
      </c>
      <c r="M17" s="59">
        <v>6131</v>
      </c>
      <c r="N17" s="59">
        <v>123159</v>
      </c>
      <c r="O17" s="63">
        <v>128153</v>
      </c>
      <c r="P17" s="63">
        <f t="shared" si="0"/>
        <v>4994</v>
      </c>
      <c r="Q17" s="50">
        <v>1</v>
      </c>
      <c r="R17" s="50">
        <v>1</v>
      </c>
      <c r="S17" s="69" t="s">
        <v>57</v>
      </c>
      <c r="U17" s="23" t="s">
        <v>67</v>
      </c>
      <c r="V17" s="50">
        <v>1</v>
      </c>
    </row>
    <row r="18" s="50" customFormat="1" spans="1:22">
      <c r="A18" s="58" t="s">
        <v>123</v>
      </c>
      <c r="B18" s="59">
        <v>63681</v>
      </c>
      <c r="C18" s="59">
        <v>369151</v>
      </c>
      <c r="D18" s="59">
        <v>1994444</v>
      </c>
      <c r="E18" s="59">
        <v>119995</v>
      </c>
      <c r="F18" s="59">
        <v>2547271</v>
      </c>
      <c r="H18" s="58" t="s">
        <v>57</v>
      </c>
      <c r="I18" s="58" t="s">
        <v>259</v>
      </c>
      <c r="J18" s="59">
        <v>3300</v>
      </c>
      <c r="K18" s="59">
        <v>16453</v>
      </c>
      <c r="L18" s="59">
        <v>95047</v>
      </c>
      <c r="M18" s="59">
        <v>3626</v>
      </c>
      <c r="N18" s="59">
        <v>118426</v>
      </c>
      <c r="O18" s="63">
        <v>120986</v>
      </c>
      <c r="P18" s="63">
        <f t="shared" si="0"/>
        <v>2560</v>
      </c>
      <c r="Q18" s="50">
        <v>1</v>
      </c>
      <c r="R18" s="50">
        <v>1</v>
      </c>
      <c r="S18" s="69" t="s">
        <v>57</v>
      </c>
      <c r="U18" s="71" t="s">
        <v>58</v>
      </c>
      <c r="V18" s="50">
        <v>1</v>
      </c>
    </row>
    <row r="19" s="50" customFormat="1" spans="1:22">
      <c r="A19" s="58" t="s">
        <v>270</v>
      </c>
      <c r="B19" s="59">
        <v>384884</v>
      </c>
      <c r="C19" s="59">
        <v>2208359</v>
      </c>
      <c r="D19" s="59">
        <v>9083370</v>
      </c>
      <c r="E19" s="59">
        <v>98952</v>
      </c>
      <c r="F19" s="59">
        <v>11775565</v>
      </c>
      <c r="H19" s="58" t="s">
        <v>57</v>
      </c>
      <c r="I19" s="58" t="s">
        <v>261</v>
      </c>
      <c r="J19" s="59">
        <v>4871</v>
      </c>
      <c r="K19" s="59">
        <v>20922</v>
      </c>
      <c r="L19" s="59">
        <v>160405</v>
      </c>
      <c r="M19" s="59">
        <v>12803</v>
      </c>
      <c r="N19" s="59">
        <v>199001</v>
      </c>
      <c r="O19" s="63">
        <v>203502</v>
      </c>
      <c r="P19" s="63">
        <f t="shared" si="0"/>
        <v>4501</v>
      </c>
      <c r="Q19" s="50">
        <v>1</v>
      </c>
      <c r="R19" s="50">
        <v>1</v>
      </c>
      <c r="S19" s="69" t="s">
        <v>57</v>
      </c>
      <c r="U19" s="71" t="s">
        <v>271</v>
      </c>
      <c r="V19" s="50">
        <v>1</v>
      </c>
    </row>
    <row r="20" s="50" customFormat="1" ht="14.25" spans="1:22">
      <c r="A20" s="58" t="s">
        <v>272</v>
      </c>
      <c r="B20" s="59">
        <v>140997</v>
      </c>
      <c r="C20" s="59">
        <v>605695</v>
      </c>
      <c r="D20" s="59">
        <v>3615179</v>
      </c>
      <c r="E20" s="59">
        <v>55784</v>
      </c>
      <c r="F20" s="59">
        <v>4417655</v>
      </c>
      <c r="H20" s="58" t="s">
        <v>57</v>
      </c>
      <c r="I20" s="58" t="s">
        <v>263</v>
      </c>
      <c r="J20" s="59">
        <v>3400</v>
      </c>
      <c r="K20" s="59">
        <v>13007</v>
      </c>
      <c r="L20" s="59">
        <v>90392</v>
      </c>
      <c r="M20" s="59">
        <v>7202</v>
      </c>
      <c r="N20" s="59">
        <v>114001</v>
      </c>
      <c r="O20" s="63">
        <v>120021</v>
      </c>
      <c r="P20" s="63">
        <f t="shared" si="0"/>
        <v>6020</v>
      </c>
      <c r="Q20" s="50">
        <v>1</v>
      </c>
      <c r="R20" s="50">
        <v>1</v>
      </c>
      <c r="S20" s="69" t="s">
        <v>57</v>
      </c>
      <c r="U20" s="23" t="s">
        <v>70</v>
      </c>
      <c r="V20" s="50">
        <v>1</v>
      </c>
    </row>
    <row r="21" s="50" customFormat="1" spans="1:22">
      <c r="A21" s="58" t="s">
        <v>132</v>
      </c>
      <c r="B21" s="59">
        <v>55334</v>
      </c>
      <c r="C21" s="59">
        <v>274217</v>
      </c>
      <c r="D21" s="59">
        <v>1399719</v>
      </c>
      <c r="E21" s="59">
        <v>78043</v>
      </c>
      <c r="F21" s="59">
        <v>1807313</v>
      </c>
      <c r="H21" s="58" t="s">
        <v>57</v>
      </c>
      <c r="I21" s="58" t="s">
        <v>265</v>
      </c>
      <c r="J21" s="59">
        <v>4044</v>
      </c>
      <c r="K21" s="59">
        <v>18583</v>
      </c>
      <c r="L21" s="59">
        <v>89832</v>
      </c>
      <c r="M21" s="59">
        <v>7969</v>
      </c>
      <c r="N21" s="59">
        <v>120428</v>
      </c>
      <c r="O21" s="63">
        <v>126073</v>
      </c>
      <c r="P21" s="63">
        <f t="shared" si="0"/>
        <v>5645</v>
      </c>
      <c r="Q21" s="50">
        <v>1</v>
      </c>
      <c r="R21" s="50">
        <v>1</v>
      </c>
      <c r="S21" s="69" t="s">
        <v>57</v>
      </c>
      <c r="U21" s="71" t="s">
        <v>58</v>
      </c>
      <c r="V21" s="50">
        <v>1</v>
      </c>
    </row>
    <row r="22" s="50" customFormat="1" spans="1:22">
      <c r="A22" s="58" t="s">
        <v>135</v>
      </c>
      <c r="B22" s="59">
        <v>153135</v>
      </c>
      <c r="C22" s="59">
        <v>669054</v>
      </c>
      <c r="D22" s="59">
        <v>2563609</v>
      </c>
      <c r="E22" s="59">
        <v>54298</v>
      </c>
      <c r="F22" s="59">
        <v>3440096</v>
      </c>
      <c r="H22" s="58" t="s">
        <v>57</v>
      </c>
      <c r="I22" s="58" t="s">
        <v>267</v>
      </c>
      <c r="J22" s="59">
        <v>5752</v>
      </c>
      <c r="K22" s="59">
        <v>31050</v>
      </c>
      <c r="L22" s="59">
        <v>183868</v>
      </c>
      <c r="M22" s="59">
        <v>6482</v>
      </c>
      <c r="N22" s="59">
        <v>227152</v>
      </c>
      <c r="O22" s="63">
        <v>240981</v>
      </c>
      <c r="P22" s="63">
        <f t="shared" si="0"/>
        <v>13829</v>
      </c>
      <c r="Q22" s="50">
        <v>1</v>
      </c>
      <c r="R22" s="50">
        <v>1</v>
      </c>
      <c r="S22" s="69" t="s">
        <v>57</v>
      </c>
      <c r="U22" s="72" t="s">
        <v>273</v>
      </c>
      <c r="V22" s="50">
        <v>1</v>
      </c>
    </row>
    <row r="23" s="50" customFormat="1" spans="1:22">
      <c r="A23" s="58" t="s">
        <v>140</v>
      </c>
      <c r="B23" s="59">
        <v>34209</v>
      </c>
      <c r="C23" s="59">
        <v>181767</v>
      </c>
      <c r="D23" s="59">
        <v>974179</v>
      </c>
      <c r="E23" s="59">
        <v>226236</v>
      </c>
      <c r="F23" s="59">
        <v>1416391</v>
      </c>
      <c r="H23" s="58" t="s">
        <v>57</v>
      </c>
      <c r="I23" s="58" t="s">
        <v>269</v>
      </c>
      <c r="J23" s="59">
        <v>3807</v>
      </c>
      <c r="K23" s="59">
        <v>25129</v>
      </c>
      <c r="L23" s="59">
        <v>159720</v>
      </c>
      <c r="M23" s="59">
        <v>10919</v>
      </c>
      <c r="N23" s="59">
        <v>199575</v>
      </c>
      <c r="O23" s="63">
        <v>229043</v>
      </c>
      <c r="P23" s="63">
        <f t="shared" si="0"/>
        <v>29468</v>
      </c>
      <c r="Q23" s="50">
        <v>1</v>
      </c>
      <c r="R23" s="50">
        <v>1</v>
      </c>
      <c r="S23" s="69" t="s">
        <v>57</v>
      </c>
      <c r="U23" s="71" t="s">
        <v>274</v>
      </c>
      <c r="V23" s="50">
        <v>1</v>
      </c>
    </row>
    <row r="24" s="50" customFormat="1" spans="1:22">
      <c r="A24" s="58" t="s">
        <v>23</v>
      </c>
      <c r="B24" s="59">
        <v>3560259</v>
      </c>
      <c r="C24" s="59">
        <v>18326505</v>
      </c>
      <c r="D24" s="59">
        <v>79933370</v>
      </c>
      <c r="E24" s="59">
        <v>2234479</v>
      </c>
      <c r="F24" s="59">
        <v>104054613</v>
      </c>
      <c r="H24" s="58" t="s">
        <v>247</v>
      </c>
      <c r="I24" s="58" t="s">
        <v>275</v>
      </c>
      <c r="J24" s="59">
        <v>57864</v>
      </c>
      <c r="K24" s="59">
        <v>219140</v>
      </c>
      <c r="L24" s="59">
        <v>856666</v>
      </c>
      <c r="M24" s="59">
        <v>16551</v>
      </c>
      <c r="N24" s="59">
        <v>1150221</v>
      </c>
      <c r="O24" s="63">
        <v>872410</v>
      </c>
      <c r="P24" s="63">
        <f t="shared" si="0"/>
        <v>-277811</v>
      </c>
      <c r="S24" s="69" t="s">
        <v>247</v>
      </c>
      <c r="U24" s="72" t="s">
        <v>276</v>
      </c>
      <c r="V24" s="50">
        <v>1</v>
      </c>
    </row>
    <row r="25" s="51" customFormat="1" spans="1:209">
      <c r="A25" s="50"/>
      <c r="B25" s="50"/>
      <c r="C25" s="50"/>
      <c r="D25" s="50"/>
      <c r="E25" s="50"/>
      <c r="F25" s="50"/>
      <c r="G25" s="50"/>
      <c r="H25" s="58" t="s">
        <v>247</v>
      </c>
      <c r="I25" s="58" t="s">
        <v>277</v>
      </c>
      <c r="J25" s="59">
        <v>76409</v>
      </c>
      <c r="K25" s="59">
        <v>344323</v>
      </c>
      <c r="L25" s="59">
        <v>1352073</v>
      </c>
      <c r="M25" s="59">
        <v>17774</v>
      </c>
      <c r="N25" s="59">
        <v>1790579</v>
      </c>
      <c r="O25" s="63">
        <v>1200215</v>
      </c>
      <c r="P25" s="63">
        <f t="shared" si="0"/>
        <v>-590364</v>
      </c>
      <c r="Q25" s="50"/>
      <c r="R25" s="50"/>
      <c r="S25" s="69" t="s">
        <v>247</v>
      </c>
      <c r="T25" s="50"/>
      <c r="U25" s="71" t="s">
        <v>278</v>
      </c>
      <c r="V25" s="50">
        <v>1</v>
      </c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</row>
    <row r="26" s="51" customFormat="1" ht="14.25" spans="1:209">
      <c r="A26" s="50"/>
      <c r="B26" s="50"/>
      <c r="C26" s="50"/>
      <c r="D26" s="50"/>
      <c r="E26" s="50"/>
      <c r="F26" s="50"/>
      <c r="G26" s="50"/>
      <c r="H26" s="58" t="s">
        <v>247</v>
      </c>
      <c r="I26" s="58" t="s">
        <v>279</v>
      </c>
      <c r="J26" s="59">
        <v>93317</v>
      </c>
      <c r="K26" s="59">
        <v>377759</v>
      </c>
      <c r="L26" s="59">
        <v>1478168</v>
      </c>
      <c r="M26" s="59">
        <v>19864</v>
      </c>
      <c r="N26" s="59">
        <v>1969108</v>
      </c>
      <c r="O26" s="63">
        <v>1408220</v>
      </c>
      <c r="P26" s="63">
        <f t="shared" si="0"/>
        <v>-560888</v>
      </c>
      <c r="Q26" s="50"/>
      <c r="R26" s="50"/>
      <c r="S26" s="69" t="s">
        <v>247</v>
      </c>
      <c r="T26" s="50"/>
      <c r="U26" s="23" t="s">
        <v>76</v>
      </c>
      <c r="V26" s="50">
        <v>1</v>
      </c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</row>
    <row r="27" s="51" customFormat="1" spans="1:209">
      <c r="A27" s="50"/>
      <c r="B27" s="50"/>
      <c r="C27" s="50"/>
      <c r="D27" s="50"/>
      <c r="E27" s="50"/>
      <c r="F27" s="50"/>
      <c r="G27" s="50"/>
      <c r="H27" s="58" t="s">
        <v>247</v>
      </c>
      <c r="I27" s="58" t="s">
        <v>280</v>
      </c>
      <c r="J27" s="59">
        <v>182191</v>
      </c>
      <c r="K27" s="59">
        <v>844966</v>
      </c>
      <c r="L27" s="59">
        <v>3207832</v>
      </c>
      <c r="M27" s="59">
        <v>16058</v>
      </c>
      <c r="N27" s="59">
        <v>4251047</v>
      </c>
      <c r="O27" s="63">
        <v>3656929</v>
      </c>
      <c r="P27" s="63">
        <f t="shared" si="0"/>
        <v>-594118</v>
      </c>
      <c r="Q27" s="50"/>
      <c r="R27" s="50"/>
      <c r="S27" s="69" t="s">
        <v>247</v>
      </c>
      <c r="T27" s="50"/>
      <c r="U27" s="71" t="s">
        <v>58</v>
      </c>
      <c r="V27" s="50">
        <v>1</v>
      </c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</row>
    <row r="28" s="51" customFormat="1" spans="1:209">
      <c r="A28" s="50"/>
      <c r="B28" s="50"/>
      <c r="C28" s="50"/>
      <c r="D28" s="50"/>
      <c r="E28" s="50"/>
      <c r="F28" s="50"/>
      <c r="G28" s="50"/>
      <c r="H28" s="58" t="s">
        <v>247</v>
      </c>
      <c r="I28" s="58" t="s">
        <v>281</v>
      </c>
      <c r="J28" s="59">
        <v>141576</v>
      </c>
      <c r="K28" s="59">
        <v>649641</v>
      </c>
      <c r="L28" s="59">
        <v>2646665</v>
      </c>
      <c r="M28" s="59">
        <v>28026</v>
      </c>
      <c r="N28" s="59">
        <v>3465908</v>
      </c>
      <c r="O28" s="63">
        <v>3240775</v>
      </c>
      <c r="P28" s="63">
        <f t="shared" si="0"/>
        <v>-225133</v>
      </c>
      <c r="Q28" s="50"/>
      <c r="R28" s="50"/>
      <c r="S28" s="69" t="s">
        <v>247</v>
      </c>
      <c r="T28" s="50"/>
      <c r="U28" s="71" t="s">
        <v>282</v>
      </c>
      <c r="V28" s="50">
        <v>1</v>
      </c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</row>
    <row r="29" s="51" customFormat="1" spans="1:209">
      <c r="A29" s="50"/>
      <c r="B29" s="50"/>
      <c r="C29" s="50"/>
      <c r="D29" s="50"/>
      <c r="E29" s="50"/>
      <c r="F29" s="50"/>
      <c r="G29" s="50"/>
      <c r="H29" s="58" t="s">
        <v>247</v>
      </c>
      <c r="I29" s="58" t="s">
        <v>283</v>
      </c>
      <c r="J29" s="59">
        <v>8542</v>
      </c>
      <c r="K29" s="59">
        <v>34597</v>
      </c>
      <c r="L29" s="59">
        <v>154565</v>
      </c>
      <c r="M29" s="59">
        <v>2757</v>
      </c>
      <c r="N29" s="59">
        <v>200461</v>
      </c>
      <c r="O29" s="63">
        <v>162285</v>
      </c>
      <c r="P29" s="63">
        <f t="shared" si="0"/>
        <v>-38176</v>
      </c>
      <c r="Q29" s="50"/>
      <c r="R29" s="50"/>
      <c r="S29" s="69" t="s">
        <v>247</v>
      </c>
      <c r="T29" s="50"/>
      <c r="U29" s="71" t="s">
        <v>284</v>
      </c>
      <c r="V29" s="50">
        <v>1</v>
      </c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</row>
    <row r="30" s="51" customFormat="1" spans="1:209">
      <c r="A30" s="50"/>
      <c r="B30" s="50"/>
      <c r="C30" s="50"/>
      <c r="D30" s="50"/>
      <c r="E30" s="50"/>
      <c r="F30" s="50"/>
      <c r="G30" s="50"/>
      <c r="H30" s="58" t="s">
        <v>247</v>
      </c>
      <c r="I30" s="58" t="s">
        <v>285</v>
      </c>
      <c r="J30" s="59">
        <v>112400</v>
      </c>
      <c r="K30" s="59">
        <v>522217</v>
      </c>
      <c r="L30" s="59">
        <v>1850162</v>
      </c>
      <c r="M30" s="59">
        <v>15143</v>
      </c>
      <c r="N30" s="59">
        <v>2499922</v>
      </c>
      <c r="O30" s="63">
        <v>2059503</v>
      </c>
      <c r="P30" s="63">
        <f t="shared" si="0"/>
        <v>-440419</v>
      </c>
      <c r="Q30" s="50"/>
      <c r="R30" s="50"/>
      <c r="S30" s="69" t="s">
        <v>247</v>
      </c>
      <c r="T30" s="50"/>
      <c r="U30" s="71" t="s">
        <v>286</v>
      </c>
      <c r="V30" s="50">
        <v>1</v>
      </c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</row>
    <row r="31" s="51" customFormat="1" spans="1:209">
      <c r="A31" s="50"/>
      <c r="B31" s="50"/>
      <c r="C31" s="50"/>
      <c r="D31" s="50"/>
      <c r="E31" s="50"/>
      <c r="F31" s="50"/>
      <c r="G31" s="50"/>
      <c r="H31" s="58" t="s">
        <v>247</v>
      </c>
      <c r="I31" s="58" t="s">
        <v>287</v>
      </c>
      <c r="J31" s="59">
        <v>28989</v>
      </c>
      <c r="K31" s="59">
        <v>127173</v>
      </c>
      <c r="L31" s="59">
        <v>500453</v>
      </c>
      <c r="M31" s="59">
        <v>4572</v>
      </c>
      <c r="N31" s="59">
        <v>661187</v>
      </c>
      <c r="O31" s="63">
        <v>430171</v>
      </c>
      <c r="P31" s="63">
        <f t="shared" si="0"/>
        <v>-231016</v>
      </c>
      <c r="Q31" s="50"/>
      <c r="R31" s="50"/>
      <c r="S31" s="69" t="s">
        <v>247</v>
      </c>
      <c r="T31" s="50"/>
      <c r="U31" s="71" t="s">
        <v>288</v>
      </c>
      <c r="V31" s="50">
        <v>1</v>
      </c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</row>
    <row r="32" s="51" customFormat="1" spans="1:209">
      <c r="A32" s="50"/>
      <c r="B32" s="50"/>
      <c r="C32" s="50"/>
      <c r="D32" s="50"/>
      <c r="E32" s="50"/>
      <c r="F32" s="50"/>
      <c r="G32" s="50"/>
      <c r="H32" s="58" t="s">
        <v>247</v>
      </c>
      <c r="I32" s="58" t="s">
        <v>289</v>
      </c>
      <c r="J32" s="59">
        <v>47699</v>
      </c>
      <c r="K32" s="59">
        <v>206867</v>
      </c>
      <c r="L32" s="59">
        <v>872489</v>
      </c>
      <c r="M32" s="59">
        <v>4728</v>
      </c>
      <c r="N32" s="59">
        <v>1131783</v>
      </c>
      <c r="O32" s="63">
        <v>897863</v>
      </c>
      <c r="P32" s="63">
        <f t="shared" si="0"/>
        <v>-233920</v>
      </c>
      <c r="Q32" s="50"/>
      <c r="R32" s="50"/>
      <c r="S32" s="69" t="s">
        <v>247</v>
      </c>
      <c r="T32" s="50"/>
      <c r="U32" s="71" t="s">
        <v>290</v>
      </c>
      <c r="V32" s="50">
        <v>1</v>
      </c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</row>
    <row r="33" s="51" customFormat="1" ht="14.25" spans="1:209">
      <c r="A33" s="50"/>
      <c r="B33" s="50"/>
      <c r="C33" s="50"/>
      <c r="D33" s="50"/>
      <c r="E33" s="50"/>
      <c r="F33" s="50"/>
      <c r="G33" s="50"/>
      <c r="H33" s="58" t="s">
        <v>247</v>
      </c>
      <c r="I33" s="58" t="s">
        <v>291</v>
      </c>
      <c r="J33" s="59">
        <v>6135</v>
      </c>
      <c r="K33" s="59">
        <v>23434</v>
      </c>
      <c r="L33" s="59">
        <v>116282</v>
      </c>
      <c r="M33" s="59">
        <v>2457</v>
      </c>
      <c r="N33" s="59">
        <v>148308</v>
      </c>
      <c r="O33" s="63" t="e">
        <v>#N/A</v>
      </c>
      <c r="P33" s="63" t="e">
        <f t="shared" si="0"/>
        <v>#N/A</v>
      </c>
      <c r="Q33" s="50"/>
      <c r="R33" s="50"/>
      <c r="S33" s="69" t="s">
        <v>247</v>
      </c>
      <c r="T33" s="50"/>
      <c r="U33" s="23" t="s">
        <v>83</v>
      </c>
      <c r="V33" s="50">
        <v>1</v>
      </c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</row>
    <row r="34" s="51" customFormat="1" spans="1:209">
      <c r="A34" s="50"/>
      <c r="B34" s="50"/>
      <c r="C34" s="50"/>
      <c r="D34" s="50"/>
      <c r="E34" s="50"/>
      <c r="F34" s="50"/>
      <c r="G34" s="50"/>
      <c r="H34" s="58" t="s">
        <v>249</v>
      </c>
      <c r="I34" s="58" t="s">
        <v>292</v>
      </c>
      <c r="J34" s="59">
        <v>53512</v>
      </c>
      <c r="K34" s="59">
        <v>268336</v>
      </c>
      <c r="L34" s="59">
        <v>1058108</v>
      </c>
      <c r="M34" s="59">
        <v>73114</v>
      </c>
      <c r="N34" s="59">
        <v>1453070</v>
      </c>
      <c r="O34" s="63">
        <v>1049493</v>
      </c>
      <c r="P34" s="63">
        <f t="shared" si="0"/>
        <v>-403577</v>
      </c>
      <c r="Q34" s="50"/>
      <c r="R34" s="50"/>
      <c r="S34" s="69" t="s">
        <v>249</v>
      </c>
      <c r="T34" s="50"/>
      <c r="U34" s="71" t="s">
        <v>58</v>
      </c>
      <c r="V34" s="50">
        <v>1</v>
      </c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</row>
    <row r="35" s="51" customFormat="1" spans="1:209">
      <c r="A35" s="50"/>
      <c r="B35" s="50"/>
      <c r="C35" s="50"/>
      <c r="D35" s="50"/>
      <c r="E35" s="50"/>
      <c r="F35" s="50"/>
      <c r="G35" s="50"/>
      <c r="H35" s="58" t="s">
        <v>249</v>
      </c>
      <c r="I35" s="58" t="s">
        <v>293</v>
      </c>
      <c r="J35" s="59">
        <v>20036</v>
      </c>
      <c r="K35" s="59">
        <v>86794</v>
      </c>
      <c r="L35" s="59">
        <v>401226</v>
      </c>
      <c r="M35" s="59">
        <v>26350</v>
      </c>
      <c r="N35" s="59">
        <v>534406</v>
      </c>
      <c r="O35" s="63">
        <v>449469</v>
      </c>
      <c r="P35" s="63">
        <f t="shared" si="0"/>
        <v>-84937</v>
      </c>
      <c r="Q35" s="50"/>
      <c r="R35" s="50"/>
      <c r="S35" s="69" t="s">
        <v>249</v>
      </c>
      <c r="T35" s="50"/>
      <c r="U35" s="71" t="s">
        <v>294</v>
      </c>
      <c r="V35" s="50">
        <v>1</v>
      </c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</row>
    <row r="36" s="51" customFormat="1" spans="1:209">
      <c r="A36" s="50"/>
      <c r="B36" s="50"/>
      <c r="C36" s="50"/>
      <c r="D36" s="50"/>
      <c r="E36" s="50"/>
      <c r="F36" s="50"/>
      <c r="G36" s="50"/>
      <c r="H36" s="58" t="s">
        <v>249</v>
      </c>
      <c r="I36" s="58" t="s">
        <v>295</v>
      </c>
      <c r="J36" s="59">
        <v>15652</v>
      </c>
      <c r="K36" s="59">
        <v>82664</v>
      </c>
      <c r="L36" s="59">
        <v>338122</v>
      </c>
      <c r="M36" s="59">
        <v>15588</v>
      </c>
      <c r="N36" s="59">
        <v>452026</v>
      </c>
      <c r="O36" s="63">
        <v>333862</v>
      </c>
      <c r="P36" s="63">
        <f t="shared" ref="P36:P67" si="1">O36-N36</f>
        <v>-118164</v>
      </c>
      <c r="Q36" s="50"/>
      <c r="R36" s="50"/>
      <c r="S36" s="69" t="s">
        <v>249</v>
      </c>
      <c r="T36" s="50"/>
      <c r="U36" s="72" t="s">
        <v>296</v>
      </c>
      <c r="V36" s="50">
        <v>1</v>
      </c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</row>
    <row r="37" s="51" customFormat="1" spans="1:209">
      <c r="A37" s="50"/>
      <c r="B37" s="50"/>
      <c r="C37" s="50"/>
      <c r="D37" s="50"/>
      <c r="E37" s="50"/>
      <c r="F37" s="50"/>
      <c r="G37" s="50"/>
      <c r="H37" s="60" t="s">
        <v>67</v>
      </c>
      <c r="I37" s="60" t="s">
        <v>297</v>
      </c>
      <c r="J37" s="64">
        <v>23739</v>
      </c>
      <c r="K37" s="64">
        <v>110862</v>
      </c>
      <c r="L37" s="64">
        <v>394185</v>
      </c>
      <c r="M37" s="64">
        <v>3142</v>
      </c>
      <c r="N37" s="64">
        <v>531928</v>
      </c>
      <c r="O37" s="63">
        <v>446805</v>
      </c>
      <c r="P37" s="63">
        <f t="shared" si="1"/>
        <v>-85123</v>
      </c>
      <c r="Q37" s="50"/>
      <c r="R37" s="50">
        <v>1</v>
      </c>
      <c r="S37" s="69" t="s">
        <v>67</v>
      </c>
      <c r="T37" s="50"/>
      <c r="U37" s="71" t="s">
        <v>298</v>
      </c>
      <c r="V37" s="50">
        <v>1</v>
      </c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</row>
    <row r="38" s="51" customFormat="1" ht="14.25" spans="1:209">
      <c r="A38" s="50"/>
      <c r="B38" s="50"/>
      <c r="C38" s="50"/>
      <c r="D38" s="50"/>
      <c r="E38" s="50"/>
      <c r="F38" s="50"/>
      <c r="G38" s="50"/>
      <c r="H38" s="60" t="s">
        <v>67</v>
      </c>
      <c r="I38" s="60" t="s">
        <v>299</v>
      </c>
      <c r="J38" s="64">
        <v>25035</v>
      </c>
      <c r="K38" s="64">
        <v>109663</v>
      </c>
      <c r="L38" s="64">
        <v>488290</v>
      </c>
      <c r="M38" s="64">
        <v>7739</v>
      </c>
      <c r="N38" s="64">
        <v>630727</v>
      </c>
      <c r="O38" s="63">
        <v>551138</v>
      </c>
      <c r="P38" s="63">
        <f t="shared" si="1"/>
        <v>-79589</v>
      </c>
      <c r="Q38" s="50"/>
      <c r="R38" s="50">
        <v>1</v>
      </c>
      <c r="S38" s="69" t="s">
        <v>67</v>
      </c>
      <c r="T38" s="50"/>
      <c r="U38" s="23" t="s">
        <v>88</v>
      </c>
      <c r="V38" s="50">
        <v>1</v>
      </c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</row>
    <row r="39" s="51" customFormat="1" spans="1:209">
      <c r="A39" s="50"/>
      <c r="B39" s="50"/>
      <c r="C39" s="50"/>
      <c r="D39" s="50"/>
      <c r="E39" s="50"/>
      <c r="F39" s="50"/>
      <c r="G39" s="50"/>
      <c r="H39" s="60" t="s">
        <v>67</v>
      </c>
      <c r="I39" s="60" t="s">
        <v>300</v>
      </c>
      <c r="J39" s="64">
        <v>8840</v>
      </c>
      <c r="K39" s="64">
        <v>36535</v>
      </c>
      <c r="L39" s="64">
        <v>140693</v>
      </c>
      <c r="M39" s="64">
        <v>1338</v>
      </c>
      <c r="N39" s="64">
        <v>187406</v>
      </c>
      <c r="O39" s="63">
        <v>170665</v>
      </c>
      <c r="P39" s="63">
        <f t="shared" si="1"/>
        <v>-16741</v>
      </c>
      <c r="Q39" s="50"/>
      <c r="R39" s="50">
        <v>1</v>
      </c>
      <c r="S39" s="69" t="s">
        <v>67</v>
      </c>
      <c r="T39" s="50"/>
      <c r="U39" s="71" t="s">
        <v>58</v>
      </c>
      <c r="V39" s="50">
        <v>1</v>
      </c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</row>
    <row r="40" s="51" customFormat="1" spans="1:209">
      <c r="A40" s="50"/>
      <c r="B40" s="50"/>
      <c r="C40" s="50"/>
      <c r="D40" s="50"/>
      <c r="E40" s="50"/>
      <c r="F40" s="50"/>
      <c r="G40" s="50"/>
      <c r="H40" s="60" t="s">
        <v>67</v>
      </c>
      <c r="I40" s="60" t="s">
        <v>301</v>
      </c>
      <c r="J40" s="64">
        <v>33241</v>
      </c>
      <c r="K40" s="64">
        <v>161420</v>
      </c>
      <c r="L40" s="64">
        <v>767720</v>
      </c>
      <c r="M40" s="64">
        <v>9330</v>
      </c>
      <c r="N40" s="65">
        <v>971711</v>
      </c>
      <c r="O40" s="66">
        <v>1025369</v>
      </c>
      <c r="P40" s="66">
        <f t="shared" si="1"/>
        <v>53658</v>
      </c>
      <c r="Q40" s="50"/>
      <c r="R40" s="50">
        <v>1</v>
      </c>
      <c r="S40" s="69" t="s">
        <v>67</v>
      </c>
      <c r="T40" s="50"/>
      <c r="U40" s="71" t="s">
        <v>302</v>
      </c>
      <c r="V40" s="50">
        <v>1</v>
      </c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</row>
    <row r="41" s="51" customFormat="1" spans="1:209">
      <c r="A41" s="50"/>
      <c r="B41" s="50"/>
      <c r="C41" s="50"/>
      <c r="D41" s="50"/>
      <c r="E41" s="50"/>
      <c r="F41" s="50"/>
      <c r="G41" s="50"/>
      <c r="H41" s="60" t="s">
        <v>67</v>
      </c>
      <c r="I41" s="60" t="s">
        <v>303</v>
      </c>
      <c r="J41" s="64">
        <v>34451</v>
      </c>
      <c r="K41" s="64">
        <v>134429</v>
      </c>
      <c r="L41" s="64">
        <v>599818</v>
      </c>
      <c r="M41" s="64">
        <v>504</v>
      </c>
      <c r="N41" s="64">
        <v>769202</v>
      </c>
      <c r="O41" s="63">
        <v>744957</v>
      </c>
      <c r="P41" s="63">
        <f t="shared" si="1"/>
        <v>-24245</v>
      </c>
      <c r="Q41" s="50"/>
      <c r="R41" s="50">
        <v>1</v>
      </c>
      <c r="S41" s="69" t="s">
        <v>67</v>
      </c>
      <c r="T41" s="50"/>
      <c r="U41" s="72" t="s">
        <v>304</v>
      </c>
      <c r="V41" s="50">
        <v>1</v>
      </c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</row>
    <row r="42" s="51" customFormat="1" spans="1:209">
      <c r="A42" s="50"/>
      <c r="B42" s="50"/>
      <c r="C42" s="50"/>
      <c r="D42" s="50"/>
      <c r="E42" s="50"/>
      <c r="F42" s="50"/>
      <c r="G42" s="50"/>
      <c r="H42" s="60" t="s">
        <v>67</v>
      </c>
      <c r="I42" s="60" t="s">
        <v>305</v>
      </c>
      <c r="J42" s="64">
        <v>26682</v>
      </c>
      <c r="K42" s="64">
        <v>125351</v>
      </c>
      <c r="L42" s="64">
        <v>526822</v>
      </c>
      <c r="M42" s="64">
        <v>2374</v>
      </c>
      <c r="N42" s="64">
        <v>681229</v>
      </c>
      <c r="O42" s="63">
        <v>620486</v>
      </c>
      <c r="P42" s="63">
        <f t="shared" si="1"/>
        <v>-60743</v>
      </c>
      <c r="Q42" s="50"/>
      <c r="R42" s="50">
        <v>1</v>
      </c>
      <c r="S42" s="69" t="s">
        <v>67</v>
      </c>
      <c r="T42" s="50"/>
      <c r="U42" s="71" t="s">
        <v>306</v>
      </c>
      <c r="V42" s="50">
        <v>1</v>
      </c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</row>
    <row r="43" s="51" customFormat="1" spans="1:209">
      <c r="A43" s="50"/>
      <c r="B43" s="50"/>
      <c r="C43" s="50"/>
      <c r="D43" s="50"/>
      <c r="E43" s="50"/>
      <c r="F43" s="50"/>
      <c r="G43" s="50"/>
      <c r="H43" s="60" t="s">
        <v>67</v>
      </c>
      <c r="I43" s="60" t="s">
        <v>271</v>
      </c>
      <c r="J43" s="64">
        <v>2414</v>
      </c>
      <c r="K43" s="64">
        <v>8085</v>
      </c>
      <c r="L43" s="64">
        <v>35967</v>
      </c>
      <c r="M43" s="64">
        <v>1203</v>
      </c>
      <c r="N43" s="64">
        <v>47669</v>
      </c>
      <c r="O43" s="63">
        <v>46196</v>
      </c>
      <c r="P43" s="63">
        <f t="shared" si="1"/>
        <v>-1473</v>
      </c>
      <c r="Q43" s="50">
        <v>1</v>
      </c>
      <c r="R43" s="50">
        <v>1</v>
      </c>
      <c r="S43" s="69" t="s">
        <v>67</v>
      </c>
      <c r="T43" s="50"/>
      <c r="U43" s="72" t="s">
        <v>307</v>
      </c>
      <c r="V43" s="50">
        <v>1</v>
      </c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</row>
    <row r="44" s="51" customFormat="1" spans="1:209">
      <c r="A44" s="50"/>
      <c r="B44" s="50"/>
      <c r="C44" s="50"/>
      <c r="D44" s="50"/>
      <c r="E44" s="50"/>
      <c r="F44" s="50"/>
      <c r="G44" s="50"/>
      <c r="H44" s="60" t="s">
        <v>108</v>
      </c>
      <c r="I44" s="60" t="s">
        <v>308</v>
      </c>
      <c r="J44" s="59">
        <v>11959</v>
      </c>
      <c r="K44" s="59">
        <v>46807</v>
      </c>
      <c r="L44" s="59">
        <v>242054</v>
      </c>
      <c r="M44" s="59">
        <v>19686</v>
      </c>
      <c r="N44" s="59">
        <v>320506</v>
      </c>
      <c r="O44" s="63" t="e">
        <v>#N/A</v>
      </c>
      <c r="P44" s="63" t="e">
        <f t="shared" si="1"/>
        <v>#N/A</v>
      </c>
      <c r="Q44" s="50"/>
      <c r="R44" s="50">
        <v>1</v>
      </c>
      <c r="S44" s="69" t="s">
        <v>108</v>
      </c>
      <c r="T44" s="50"/>
      <c r="U44" s="71" t="s">
        <v>309</v>
      </c>
      <c r="V44" s="50">
        <v>1</v>
      </c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</row>
    <row r="45" s="51" customFormat="1" ht="14.25" spans="1:209">
      <c r="A45" s="50"/>
      <c r="B45" s="50"/>
      <c r="C45" s="50"/>
      <c r="D45" s="50"/>
      <c r="E45" s="50"/>
      <c r="F45" s="50"/>
      <c r="G45" s="50"/>
      <c r="H45" s="60" t="s">
        <v>108</v>
      </c>
      <c r="I45" s="60" t="s">
        <v>310</v>
      </c>
      <c r="J45" s="59">
        <v>23199</v>
      </c>
      <c r="K45" s="59">
        <v>97139</v>
      </c>
      <c r="L45" s="59">
        <v>403440</v>
      </c>
      <c r="M45" s="59">
        <v>17585</v>
      </c>
      <c r="N45" s="59">
        <v>541363</v>
      </c>
      <c r="O45" s="63">
        <v>518269</v>
      </c>
      <c r="P45" s="63">
        <f t="shared" si="1"/>
        <v>-23094</v>
      </c>
      <c r="Q45" s="50">
        <v>1</v>
      </c>
      <c r="R45" s="50">
        <v>1</v>
      </c>
      <c r="S45" s="69" t="s">
        <v>108</v>
      </c>
      <c r="T45" s="50"/>
      <c r="U45" s="23" t="s">
        <v>95</v>
      </c>
      <c r="V45" s="50">
        <v>1</v>
      </c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</row>
    <row r="46" s="51" customFormat="1" spans="1:209">
      <c r="A46" s="50"/>
      <c r="B46" s="50"/>
      <c r="C46" s="50"/>
      <c r="D46" s="50"/>
      <c r="E46" s="50"/>
      <c r="F46" s="50"/>
      <c r="G46" s="50"/>
      <c r="H46" s="60" t="s">
        <v>108</v>
      </c>
      <c r="I46" s="60" t="s">
        <v>311</v>
      </c>
      <c r="J46" s="59">
        <v>6848</v>
      </c>
      <c r="K46" s="59">
        <v>22229</v>
      </c>
      <c r="L46" s="59">
        <v>100005</v>
      </c>
      <c r="M46" s="59">
        <v>27969</v>
      </c>
      <c r="N46" s="59">
        <v>157051</v>
      </c>
      <c r="O46" s="63">
        <v>148211</v>
      </c>
      <c r="P46" s="63">
        <f t="shared" si="1"/>
        <v>-8840</v>
      </c>
      <c r="Q46" s="50">
        <v>1</v>
      </c>
      <c r="R46" s="50">
        <v>1</v>
      </c>
      <c r="S46" s="69" t="s">
        <v>108</v>
      </c>
      <c r="T46" s="50"/>
      <c r="U46" s="71" t="s">
        <v>58</v>
      </c>
      <c r="V46" s="50">
        <v>1</v>
      </c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</row>
    <row r="47" s="51" customFormat="1" spans="1:209">
      <c r="A47" s="50"/>
      <c r="B47" s="50"/>
      <c r="C47" s="50"/>
      <c r="D47" s="50"/>
      <c r="E47" s="50"/>
      <c r="F47" s="50"/>
      <c r="G47" s="50"/>
      <c r="H47" s="60" t="s">
        <v>108</v>
      </c>
      <c r="I47" s="60" t="s">
        <v>312</v>
      </c>
      <c r="J47" s="59">
        <v>30137</v>
      </c>
      <c r="K47" s="59">
        <v>128920</v>
      </c>
      <c r="L47" s="59">
        <v>442797</v>
      </c>
      <c r="M47" s="59">
        <v>24377</v>
      </c>
      <c r="N47" s="59">
        <v>626231</v>
      </c>
      <c r="O47" s="63">
        <v>722698</v>
      </c>
      <c r="P47" s="63">
        <f t="shared" si="1"/>
        <v>96467</v>
      </c>
      <c r="Q47" s="50">
        <v>1</v>
      </c>
      <c r="R47" s="50">
        <v>1</v>
      </c>
      <c r="S47" s="69" t="s">
        <v>108</v>
      </c>
      <c r="T47" s="50"/>
      <c r="U47" s="71" t="s">
        <v>313</v>
      </c>
      <c r="V47" s="50">
        <v>1</v>
      </c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50"/>
      <c r="FG47" s="50"/>
      <c r="FH47" s="50"/>
      <c r="FI47" s="50"/>
      <c r="FJ47" s="50"/>
      <c r="FK47" s="50"/>
      <c r="FL47" s="50"/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50"/>
      <c r="FY47" s="50"/>
      <c r="FZ47" s="50"/>
      <c r="GA47" s="50"/>
      <c r="GB47" s="50"/>
      <c r="GC47" s="50"/>
      <c r="GD47" s="50"/>
      <c r="GE47" s="50"/>
      <c r="GF47" s="50"/>
      <c r="GG47" s="50"/>
      <c r="GH47" s="50"/>
      <c r="GI47" s="50"/>
      <c r="GJ47" s="50"/>
      <c r="GK47" s="50"/>
      <c r="GL47" s="50"/>
      <c r="GM47" s="50"/>
      <c r="GN47" s="50"/>
      <c r="GO47" s="50"/>
      <c r="GP47" s="50"/>
      <c r="GQ47" s="50"/>
      <c r="GR47" s="50"/>
      <c r="GS47" s="50"/>
      <c r="GT47" s="50"/>
      <c r="GU47" s="50"/>
      <c r="GV47" s="50"/>
      <c r="GW47" s="50"/>
      <c r="GX47" s="50"/>
      <c r="GY47" s="50"/>
      <c r="GZ47" s="50"/>
      <c r="HA47" s="50"/>
    </row>
    <row r="48" s="51" customFormat="1" spans="1:209">
      <c r="A48" s="50"/>
      <c r="B48" s="50"/>
      <c r="C48" s="50"/>
      <c r="D48" s="50"/>
      <c r="E48" s="50"/>
      <c r="F48" s="50"/>
      <c r="G48" s="50"/>
      <c r="H48" s="58" t="s">
        <v>123</v>
      </c>
      <c r="I48" s="58" t="s">
        <v>314</v>
      </c>
      <c r="J48" s="59">
        <v>25517</v>
      </c>
      <c r="K48" s="59">
        <v>146700</v>
      </c>
      <c r="L48" s="59">
        <v>632472</v>
      </c>
      <c r="M48" s="59">
        <v>38001</v>
      </c>
      <c r="N48" s="59">
        <v>842690</v>
      </c>
      <c r="O48" s="63">
        <v>744522</v>
      </c>
      <c r="P48" s="63">
        <f t="shared" si="1"/>
        <v>-98168</v>
      </c>
      <c r="Q48" s="50"/>
      <c r="R48" s="50">
        <v>1</v>
      </c>
      <c r="S48" s="69" t="s">
        <v>123</v>
      </c>
      <c r="T48" s="50"/>
      <c r="U48" s="71" t="s">
        <v>315</v>
      </c>
      <c r="V48" s="50">
        <v>1</v>
      </c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</row>
    <row r="49" s="51" customFormat="1" spans="1:209">
      <c r="A49" s="50"/>
      <c r="B49" s="50"/>
      <c r="C49" s="50"/>
      <c r="D49" s="50"/>
      <c r="E49" s="50"/>
      <c r="F49" s="50"/>
      <c r="G49" s="50"/>
      <c r="H49" s="58" t="s">
        <v>123</v>
      </c>
      <c r="I49" s="58" t="s">
        <v>316</v>
      </c>
      <c r="J49" s="59">
        <v>4821</v>
      </c>
      <c r="K49" s="59">
        <v>27445</v>
      </c>
      <c r="L49" s="59">
        <v>155828</v>
      </c>
      <c r="M49" s="59">
        <v>12617</v>
      </c>
      <c r="N49" s="59">
        <v>200711</v>
      </c>
      <c r="O49" s="63">
        <v>204250</v>
      </c>
      <c r="P49" s="63">
        <f t="shared" si="1"/>
        <v>3539</v>
      </c>
      <c r="Q49" s="50">
        <v>1</v>
      </c>
      <c r="R49" s="50">
        <v>1</v>
      </c>
      <c r="S49" s="69" t="s">
        <v>123</v>
      </c>
      <c r="T49" s="50"/>
      <c r="U49" s="72" t="s">
        <v>317</v>
      </c>
      <c r="V49" s="50">
        <v>1</v>
      </c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</row>
    <row r="50" s="51" customFormat="1" ht="14.25" spans="1:209">
      <c r="A50" s="50"/>
      <c r="B50" s="50"/>
      <c r="C50" s="50"/>
      <c r="D50" s="50"/>
      <c r="E50" s="50"/>
      <c r="F50" s="50"/>
      <c r="G50" s="50"/>
      <c r="H50" s="58" t="s">
        <v>123</v>
      </c>
      <c r="I50" s="58" t="s">
        <v>318</v>
      </c>
      <c r="J50" s="59">
        <v>3510</v>
      </c>
      <c r="K50" s="59">
        <v>20632</v>
      </c>
      <c r="L50" s="59">
        <v>157201</v>
      </c>
      <c r="M50" s="59">
        <v>6857</v>
      </c>
      <c r="N50" s="59">
        <v>188200</v>
      </c>
      <c r="O50" s="63">
        <v>227643</v>
      </c>
      <c r="P50" s="63">
        <f t="shared" si="1"/>
        <v>39443</v>
      </c>
      <c r="Q50" s="50">
        <v>1</v>
      </c>
      <c r="R50" s="50">
        <v>1</v>
      </c>
      <c r="S50" s="69" t="s">
        <v>123</v>
      </c>
      <c r="T50" s="50"/>
      <c r="U50" s="23" t="s">
        <v>100</v>
      </c>
      <c r="V50" s="50">
        <v>1</v>
      </c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</row>
    <row r="51" s="51" customFormat="1" spans="1:209">
      <c r="A51" s="50"/>
      <c r="B51" s="50"/>
      <c r="C51" s="50"/>
      <c r="D51" s="50"/>
      <c r="E51" s="50"/>
      <c r="F51" s="50"/>
      <c r="G51" s="50"/>
      <c r="H51" s="58" t="s">
        <v>123</v>
      </c>
      <c r="I51" s="58" t="s">
        <v>319</v>
      </c>
      <c r="J51" s="59">
        <v>943</v>
      </c>
      <c r="K51" s="59">
        <v>5447</v>
      </c>
      <c r="L51" s="59">
        <v>43447</v>
      </c>
      <c r="M51" s="59">
        <v>5148</v>
      </c>
      <c r="N51" s="59">
        <v>54985</v>
      </c>
      <c r="O51" s="63">
        <v>60380</v>
      </c>
      <c r="P51" s="63">
        <f t="shared" si="1"/>
        <v>5395</v>
      </c>
      <c r="Q51" s="50">
        <v>1</v>
      </c>
      <c r="R51" s="50">
        <v>1</v>
      </c>
      <c r="S51" s="69" t="s">
        <v>123</v>
      </c>
      <c r="T51" s="50"/>
      <c r="U51" s="71" t="s">
        <v>58</v>
      </c>
      <c r="V51" s="50">
        <v>1</v>
      </c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</row>
    <row r="52" s="51" customFormat="1" spans="1:209">
      <c r="A52" s="50"/>
      <c r="B52" s="50"/>
      <c r="C52" s="50"/>
      <c r="D52" s="50"/>
      <c r="E52" s="50"/>
      <c r="F52" s="50"/>
      <c r="G52" s="50"/>
      <c r="H52" s="58" t="s">
        <v>123</v>
      </c>
      <c r="I52" s="58" t="s">
        <v>320</v>
      </c>
      <c r="J52" s="59">
        <v>1111</v>
      </c>
      <c r="K52" s="59">
        <v>5592</v>
      </c>
      <c r="L52" s="59">
        <v>65099</v>
      </c>
      <c r="M52" s="59">
        <v>3232</v>
      </c>
      <c r="N52" s="59">
        <v>75034</v>
      </c>
      <c r="O52" s="63">
        <v>82653</v>
      </c>
      <c r="P52" s="63">
        <f t="shared" si="1"/>
        <v>7619</v>
      </c>
      <c r="Q52" s="50">
        <v>1</v>
      </c>
      <c r="R52" s="50">
        <v>1</v>
      </c>
      <c r="S52" s="69" t="s">
        <v>123</v>
      </c>
      <c r="T52" s="50"/>
      <c r="U52" s="71" t="s">
        <v>321</v>
      </c>
      <c r="V52" s="50">
        <v>1</v>
      </c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</row>
    <row r="53" s="51" customFormat="1" spans="1:209">
      <c r="A53" s="50"/>
      <c r="B53" s="50"/>
      <c r="C53" s="50"/>
      <c r="D53" s="50"/>
      <c r="E53" s="50"/>
      <c r="F53" s="50"/>
      <c r="G53" s="50"/>
      <c r="H53" s="58" t="s">
        <v>123</v>
      </c>
      <c r="I53" s="58" t="s">
        <v>322</v>
      </c>
      <c r="J53" s="59">
        <v>10339</v>
      </c>
      <c r="K53" s="59">
        <v>66630</v>
      </c>
      <c r="L53" s="59">
        <v>307603</v>
      </c>
      <c r="M53" s="59">
        <v>8498</v>
      </c>
      <c r="N53" s="67">
        <v>393070</v>
      </c>
      <c r="O53" s="66">
        <v>400500</v>
      </c>
      <c r="P53" s="66">
        <f t="shared" si="1"/>
        <v>7430</v>
      </c>
      <c r="Q53" s="50"/>
      <c r="R53" s="50">
        <v>1</v>
      </c>
      <c r="S53" s="69" t="s">
        <v>123</v>
      </c>
      <c r="T53" s="50"/>
      <c r="U53" s="71" t="s">
        <v>323</v>
      </c>
      <c r="V53" s="50">
        <v>1</v>
      </c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</row>
    <row r="54" s="51" customFormat="1" spans="1:209">
      <c r="A54" s="50"/>
      <c r="B54" s="50"/>
      <c r="C54" s="50"/>
      <c r="D54" s="50"/>
      <c r="E54" s="50"/>
      <c r="F54" s="50"/>
      <c r="G54" s="50"/>
      <c r="H54" s="58" t="s">
        <v>123</v>
      </c>
      <c r="I54" s="58" t="s">
        <v>324</v>
      </c>
      <c r="J54" s="59">
        <v>14361</v>
      </c>
      <c r="K54" s="59">
        <v>80468</v>
      </c>
      <c r="L54" s="59">
        <v>455703</v>
      </c>
      <c r="M54" s="59">
        <v>36078</v>
      </c>
      <c r="N54" s="59">
        <v>586610</v>
      </c>
      <c r="O54" s="63">
        <v>599553</v>
      </c>
      <c r="P54" s="63">
        <f t="shared" si="1"/>
        <v>12943</v>
      </c>
      <c r="Q54" s="50">
        <v>1</v>
      </c>
      <c r="R54" s="50">
        <v>1</v>
      </c>
      <c r="S54" s="69" t="s">
        <v>123</v>
      </c>
      <c r="T54" s="50"/>
      <c r="U54" s="71" t="s">
        <v>325</v>
      </c>
      <c r="V54" s="50">
        <v>1</v>
      </c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</row>
    <row r="55" s="51" customFormat="1" spans="1:209">
      <c r="A55" s="50"/>
      <c r="B55" s="50"/>
      <c r="C55" s="50"/>
      <c r="D55" s="50"/>
      <c r="E55" s="50"/>
      <c r="F55" s="50"/>
      <c r="G55" s="50"/>
      <c r="H55" s="58" t="s">
        <v>123</v>
      </c>
      <c r="I55" s="58" t="s">
        <v>326</v>
      </c>
      <c r="J55" s="59">
        <v>3079</v>
      </c>
      <c r="K55" s="59">
        <v>16237</v>
      </c>
      <c r="L55" s="59">
        <v>177091</v>
      </c>
      <c r="M55" s="59">
        <v>9564</v>
      </c>
      <c r="N55" s="59">
        <v>205971</v>
      </c>
      <c r="O55" s="63">
        <v>237410</v>
      </c>
      <c r="P55" s="63">
        <f t="shared" si="1"/>
        <v>31439</v>
      </c>
      <c r="Q55" s="50">
        <v>1</v>
      </c>
      <c r="R55" s="50">
        <v>1</v>
      </c>
      <c r="S55" s="69" t="s">
        <v>123</v>
      </c>
      <c r="T55" s="50"/>
      <c r="U55" s="71" t="s">
        <v>327</v>
      </c>
      <c r="V55" s="50">
        <v>1</v>
      </c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</row>
    <row r="56" s="51" customFormat="1" spans="1:209">
      <c r="A56" s="50"/>
      <c r="B56" s="50"/>
      <c r="C56" s="50"/>
      <c r="D56" s="50"/>
      <c r="E56" s="50"/>
      <c r="F56" s="50"/>
      <c r="G56" s="50"/>
      <c r="H56" s="60" t="s">
        <v>120</v>
      </c>
      <c r="I56" s="60" t="s">
        <v>328</v>
      </c>
      <c r="J56" s="59">
        <v>21314</v>
      </c>
      <c r="K56" s="59">
        <v>119360</v>
      </c>
      <c r="L56" s="59">
        <v>443512</v>
      </c>
      <c r="M56" s="59">
        <v>23094</v>
      </c>
      <c r="N56" s="59">
        <v>607280</v>
      </c>
      <c r="O56" s="63">
        <v>553451</v>
      </c>
      <c r="P56" s="63">
        <f t="shared" si="1"/>
        <v>-53829</v>
      </c>
      <c r="Q56" s="50"/>
      <c r="R56" s="50">
        <v>1</v>
      </c>
      <c r="S56" s="69" t="s">
        <v>120</v>
      </c>
      <c r="T56" s="50"/>
      <c r="U56" s="71" t="s">
        <v>329</v>
      </c>
      <c r="V56" s="50">
        <v>1</v>
      </c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</row>
    <row r="57" s="51" customFormat="1" spans="1:209">
      <c r="A57" s="50"/>
      <c r="B57" s="50"/>
      <c r="C57" s="50"/>
      <c r="D57" s="50"/>
      <c r="E57" s="50"/>
      <c r="F57" s="50"/>
      <c r="G57" s="50"/>
      <c r="H57" s="60" t="s">
        <v>120</v>
      </c>
      <c r="I57" s="60" t="s">
        <v>330</v>
      </c>
      <c r="J57" s="59">
        <v>5481</v>
      </c>
      <c r="K57" s="59">
        <v>39894</v>
      </c>
      <c r="L57" s="59">
        <v>213857</v>
      </c>
      <c r="M57" s="59">
        <v>15241</v>
      </c>
      <c r="N57" s="59">
        <v>274473</v>
      </c>
      <c r="O57" s="63">
        <v>282233</v>
      </c>
      <c r="P57" s="63">
        <f t="shared" si="1"/>
        <v>7760</v>
      </c>
      <c r="Q57" s="50">
        <v>1</v>
      </c>
      <c r="R57" s="50">
        <v>1</v>
      </c>
      <c r="S57" s="69" t="s">
        <v>120</v>
      </c>
      <c r="T57" s="50"/>
      <c r="U57" s="71" t="s">
        <v>331</v>
      </c>
      <c r="V57" s="50">
        <v>1</v>
      </c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</row>
    <row r="58" s="51" customFormat="1" ht="14.25" spans="1:209">
      <c r="A58" s="50"/>
      <c r="B58" s="50"/>
      <c r="C58" s="50"/>
      <c r="D58" s="50"/>
      <c r="E58" s="50"/>
      <c r="F58" s="50"/>
      <c r="G58" s="50"/>
      <c r="H58" s="60" t="s">
        <v>120</v>
      </c>
      <c r="I58" s="60" t="s">
        <v>332</v>
      </c>
      <c r="J58" s="59">
        <v>6992</v>
      </c>
      <c r="K58" s="59">
        <v>58582</v>
      </c>
      <c r="L58" s="59">
        <v>255676</v>
      </c>
      <c r="M58" s="59">
        <v>13924</v>
      </c>
      <c r="N58" s="59">
        <v>335174</v>
      </c>
      <c r="O58" s="63">
        <v>320108</v>
      </c>
      <c r="P58" s="63">
        <f t="shared" si="1"/>
        <v>-15066</v>
      </c>
      <c r="Q58" s="50"/>
      <c r="R58" s="50">
        <v>1</v>
      </c>
      <c r="S58" s="69" t="s">
        <v>120</v>
      </c>
      <c r="T58" s="50"/>
      <c r="U58" s="23" t="s">
        <v>108</v>
      </c>
      <c r="V58" s="50">
        <v>1</v>
      </c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</row>
    <row r="59" s="51" customFormat="1" spans="1:209">
      <c r="A59" s="50"/>
      <c r="B59" s="50"/>
      <c r="C59" s="50"/>
      <c r="D59" s="50"/>
      <c r="E59" s="50"/>
      <c r="F59" s="50"/>
      <c r="G59" s="50"/>
      <c r="H59" s="60" t="s">
        <v>120</v>
      </c>
      <c r="I59" s="60" t="s">
        <v>333</v>
      </c>
      <c r="J59" s="59">
        <v>9499</v>
      </c>
      <c r="K59" s="59">
        <v>62439</v>
      </c>
      <c r="L59" s="59">
        <v>384882</v>
      </c>
      <c r="M59" s="59">
        <v>33426</v>
      </c>
      <c r="N59" s="59">
        <v>490246</v>
      </c>
      <c r="O59" s="63">
        <v>536791</v>
      </c>
      <c r="P59" s="63">
        <f t="shared" si="1"/>
        <v>46545</v>
      </c>
      <c r="Q59" s="50">
        <v>1</v>
      </c>
      <c r="R59" s="50">
        <v>1</v>
      </c>
      <c r="S59" s="69" t="s">
        <v>120</v>
      </c>
      <c r="T59" s="50"/>
      <c r="U59" s="71" t="s">
        <v>58</v>
      </c>
      <c r="V59" s="50">
        <v>1</v>
      </c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</row>
    <row r="60" s="51" customFormat="1" spans="1:209">
      <c r="A60" s="50"/>
      <c r="B60" s="50"/>
      <c r="C60" s="50"/>
      <c r="D60" s="50"/>
      <c r="E60" s="50"/>
      <c r="F60" s="50"/>
      <c r="G60" s="50"/>
      <c r="H60" s="60" t="s">
        <v>140</v>
      </c>
      <c r="I60" s="60" t="s">
        <v>334</v>
      </c>
      <c r="J60" s="59">
        <v>7060</v>
      </c>
      <c r="K60" s="59">
        <v>38140</v>
      </c>
      <c r="L60" s="59">
        <v>222878</v>
      </c>
      <c r="M60" s="59">
        <v>20874</v>
      </c>
      <c r="N60" s="59">
        <v>288952</v>
      </c>
      <c r="O60" s="63">
        <v>267092</v>
      </c>
      <c r="P60" s="63">
        <f t="shared" si="1"/>
        <v>-21860</v>
      </c>
      <c r="Q60" s="50"/>
      <c r="R60" s="50">
        <v>1</v>
      </c>
      <c r="S60" s="69" t="s">
        <v>140</v>
      </c>
      <c r="T60" s="50"/>
      <c r="U60" s="71" t="s">
        <v>310</v>
      </c>
      <c r="V60" s="50">
        <v>1</v>
      </c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</row>
    <row r="61" s="51" customFormat="1" spans="1:209">
      <c r="A61" s="50"/>
      <c r="B61" s="50"/>
      <c r="C61" s="50"/>
      <c r="D61" s="50"/>
      <c r="E61" s="50"/>
      <c r="F61" s="50"/>
      <c r="G61" s="50"/>
      <c r="H61" s="60" t="s">
        <v>140</v>
      </c>
      <c r="I61" s="60" t="s">
        <v>335</v>
      </c>
      <c r="J61" s="59">
        <v>7512</v>
      </c>
      <c r="K61" s="59">
        <v>40916</v>
      </c>
      <c r="L61" s="59">
        <v>193426</v>
      </c>
      <c r="M61" s="59">
        <v>46505</v>
      </c>
      <c r="N61" s="59">
        <v>288359</v>
      </c>
      <c r="O61" s="63">
        <v>277803</v>
      </c>
      <c r="P61" s="63">
        <f t="shared" si="1"/>
        <v>-10556</v>
      </c>
      <c r="Q61" s="50">
        <v>1</v>
      </c>
      <c r="R61" s="50">
        <v>1</v>
      </c>
      <c r="S61" s="69" t="s">
        <v>140</v>
      </c>
      <c r="T61" s="50"/>
      <c r="U61" s="71" t="s">
        <v>311</v>
      </c>
      <c r="V61" s="50">
        <v>1</v>
      </c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</row>
    <row r="62" s="51" customFormat="1" spans="1:209">
      <c r="A62" s="50"/>
      <c r="B62" s="50"/>
      <c r="C62" s="50"/>
      <c r="D62" s="50"/>
      <c r="E62" s="50"/>
      <c r="F62" s="50"/>
      <c r="G62" s="50"/>
      <c r="H62" s="60" t="s">
        <v>140</v>
      </c>
      <c r="I62" s="60" t="s">
        <v>336</v>
      </c>
      <c r="J62" s="59">
        <v>4339</v>
      </c>
      <c r="K62" s="59">
        <v>27063</v>
      </c>
      <c r="L62" s="59">
        <v>138768</v>
      </c>
      <c r="M62" s="59">
        <v>35099</v>
      </c>
      <c r="N62" s="59">
        <v>205269</v>
      </c>
      <c r="O62" s="63">
        <v>228084</v>
      </c>
      <c r="P62" s="63">
        <f t="shared" si="1"/>
        <v>22815</v>
      </c>
      <c r="Q62" s="50">
        <v>1</v>
      </c>
      <c r="R62" s="50">
        <v>1</v>
      </c>
      <c r="S62" s="69" t="s">
        <v>140</v>
      </c>
      <c r="T62" s="50"/>
      <c r="U62" s="71" t="s">
        <v>312</v>
      </c>
      <c r="V62" s="50">
        <v>1</v>
      </c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</row>
    <row r="63" s="51" customFormat="1" ht="14.25" spans="1:209">
      <c r="A63" s="50"/>
      <c r="B63" s="50"/>
      <c r="C63" s="50"/>
      <c r="D63" s="50"/>
      <c r="E63" s="50"/>
      <c r="F63" s="50"/>
      <c r="G63" s="50"/>
      <c r="H63" s="60" t="s">
        <v>140</v>
      </c>
      <c r="I63" s="60" t="s">
        <v>337</v>
      </c>
      <c r="J63" s="59">
        <v>2149</v>
      </c>
      <c r="K63" s="59">
        <v>13688</v>
      </c>
      <c r="L63" s="59">
        <v>90116</v>
      </c>
      <c r="M63" s="59">
        <v>34556</v>
      </c>
      <c r="N63" s="67">
        <v>140509</v>
      </c>
      <c r="O63" s="66">
        <v>144665</v>
      </c>
      <c r="P63" s="66">
        <f t="shared" si="1"/>
        <v>4156</v>
      </c>
      <c r="Q63" s="50"/>
      <c r="R63" s="50">
        <v>1</v>
      </c>
      <c r="S63" s="69" t="s">
        <v>140</v>
      </c>
      <c r="T63" s="50"/>
      <c r="U63" s="23" t="s">
        <v>113</v>
      </c>
      <c r="V63" s="50">
        <v>1</v>
      </c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</row>
    <row r="64" s="51" customFormat="1" spans="1:209">
      <c r="A64" s="50"/>
      <c r="B64" s="50"/>
      <c r="C64" s="50"/>
      <c r="D64" s="50"/>
      <c r="E64" s="50"/>
      <c r="F64" s="50"/>
      <c r="G64" s="50"/>
      <c r="H64" s="60" t="s">
        <v>140</v>
      </c>
      <c r="I64" s="60" t="s">
        <v>338</v>
      </c>
      <c r="J64" s="59">
        <v>13149</v>
      </c>
      <c r="K64" s="59">
        <v>61960</v>
      </c>
      <c r="L64" s="59">
        <v>328991</v>
      </c>
      <c r="M64" s="59">
        <v>89202</v>
      </c>
      <c r="N64" s="59">
        <v>493302</v>
      </c>
      <c r="O64" s="63">
        <v>551830</v>
      </c>
      <c r="P64" s="63">
        <f t="shared" si="1"/>
        <v>58528</v>
      </c>
      <c r="Q64" s="50">
        <v>1</v>
      </c>
      <c r="R64" s="50">
        <v>1</v>
      </c>
      <c r="S64" s="69" t="s">
        <v>140</v>
      </c>
      <c r="T64" s="50"/>
      <c r="U64" s="71" t="s">
        <v>58</v>
      </c>
      <c r="V64" s="50">
        <v>1</v>
      </c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</row>
    <row r="65" s="51" customFormat="1" spans="1:209">
      <c r="A65" s="50"/>
      <c r="B65" s="50"/>
      <c r="C65" s="50"/>
      <c r="D65" s="50"/>
      <c r="E65" s="50"/>
      <c r="F65" s="50"/>
      <c r="G65" s="50"/>
      <c r="H65" s="60" t="s">
        <v>76</v>
      </c>
      <c r="I65" s="60" t="s">
        <v>339</v>
      </c>
      <c r="J65" s="59">
        <v>9302</v>
      </c>
      <c r="K65" s="59">
        <v>59614</v>
      </c>
      <c r="L65" s="59">
        <v>224184</v>
      </c>
      <c r="M65" s="59">
        <v>15165</v>
      </c>
      <c r="N65" s="59">
        <v>308265</v>
      </c>
      <c r="O65" s="63">
        <v>275596</v>
      </c>
      <c r="P65" s="63">
        <f t="shared" si="1"/>
        <v>-32669</v>
      </c>
      <c r="Q65" s="50"/>
      <c r="R65" s="50">
        <v>1</v>
      </c>
      <c r="S65" s="69" t="s">
        <v>76</v>
      </c>
      <c r="T65" s="50"/>
      <c r="U65" s="71" t="s">
        <v>340</v>
      </c>
      <c r="V65" s="50">
        <v>1</v>
      </c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</row>
    <row r="66" s="51" customFormat="1" spans="1:209">
      <c r="A66" s="50"/>
      <c r="B66" s="50"/>
      <c r="C66" s="50"/>
      <c r="D66" s="50"/>
      <c r="E66" s="50"/>
      <c r="F66" s="50"/>
      <c r="G66" s="50"/>
      <c r="H66" s="60" t="s">
        <v>76</v>
      </c>
      <c r="I66" s="60" t="s">
        <v>341</v>
      </c>
      <c r="J66" s="59">
        <v>13893</v>
      </c>
      <c r="K66" s="59">
        <v>86207</v>
      </c>
      <c r="L66" s="59">
        <v>312819</v>
      </c>
      <c r="M66" s="59">
        <v>17037</v>
      </c>
      <c r="N66" s="67">
        <v>429956</v>
      </c>
      <c r="O66" s="66">
        <v>431264</v>
      </c>
      <c r="P66" s="66">
        <f t="shared" si="1"/>
        <v>1308</v>
      </c>
      <c r="Q66" s="50"/>
      <c r="R66" s="50">
        <v>1</v>
      </c>
      <c r="S66" s="69" t="s">
        <v>76</v>
      </c>
      <c r="T66" s="50"/>
      <c r="U66" s="71" t="s">
        <v>342</v>
      </c>
      <c r="V66" s="50">
        <v>1</v>
      </c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</row>
    <row r="67" s="51" customFormat="1" spans="1:209">
      <c r="A67" s="50"/>
      <c r="B67" s="50"/>
      <c r="C67" s="50"/>
      <c r="D67" s="50"/>
      <c r="E67" s="50"/>
      <c r="F67" s="50"/>
      <c r="G67" s="50"/>
      <c r="H67" s="60" t="s">
        <v>76</v>
      </c>
      <c r="I67" s="60" t="s">
        <v>343</v>
      </c>
      <c r="J67" s="59">
        <v>4907</v>
      </c>
      <c r="K67" s="59">
        <v>29317</v>
      </c>
      <c r="L67" s="59">
        <v>168503</v>
      </c>
      <c r="M67" s="59">
        <v>6870</v>
      </c>
      <c r="N67" s="67">
        <v>209597</v>
      </c>
      <c r="O67" s="66">
        <v>212622</v>
      </c>
      <c r="P67" s="66">
        <f t="shared" si="1"/>
        <v>3025</v>
      </c>
      <c r="Q67" s="50"/>
      <c r="R67" s="50">
        <v>1</v>
      </c>
      <c r="S67" s="69" t="s">
        <v>76</v>
      </c>
      <c r="T67" s="50"/>
      <c r="U67" s="71" t="s">
        <v>344</v>
      </c>
      <c r="V67" s="50">
        <v>1</v>
      </c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</row>
    <row r="68" s="51" customFormat="1" spans="1:209">
      <c r="A68" s="50"/>
      <c r="B68" s="50"/>
      <c r="C68" s="50"/>
      <c r="D68" s="50"/>
      <c r="E68" s="50"/>
      <c r="F68" s="50"/>
      <c r="G68" s="50"/>
      <c r="H68" s="60" t="s">
        <v>76</v>
      </c>
      <c r="I68" s="60" t="s">
        <v>345</v>
      </c>
      <c r="J68" s="59">
        <v>12297</v>
      </c>
      <c r="K68" s="59">
        <v>61806</v>
      </c>
      <c r="L68" s="59">
        <v>298703</v>
      </c>
      <c r="M68" s="59">
        <v>24095</v>
      </c>
      <c r="N68" s="59">
        <v>396901</v>
      </c>
      <c r="O68" s="63">
        <v>319607</v>
      </c>
      <c r="P68" s="63">
        <f t="shared" ref="P68:P99" si="2">O68-N68</f>
        <v>-77294</v>
      </c>
      <c r="Q68" s="50"/>
      <c r="R68" s="50">
        <v>1</v>
      </c>
      <c r="S68" s="69" t="s">
        <v>76</v>
      </c>
      <c r="T68" s="50"/>
      <c r="U68" s="72" t="s">
        <v>346</v>
      </c>
      <c r="V68" s="50">
        <v>1</v>
      </c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</row>
    <row r="69" s="51" customFormat="1" spans="1:209">
      <c r="A69" s="50"/>
      <c r="B69" s="50"/>
      <c r="C69" s="50"/>
      <c r="D69" s="50"/>
      <c r="E69" s="50"/>
      <c r="F69" s="50"/>
      <c r="G69" s="50"/>
      <c r="H69" s="60" t="s">
        <v>76</v>
      </c>
      <c r="I69" s="60" t="s">
        <v>282</v>
      </c>
      <c r="J69" s="59">
        <v>9707</v>
      </c>
      <c r="K69" s="59">
        <v>48503</v>
      </c>
      <c r="L69" s="59">
        <v>334671</v>
      </c>
      <c r="M69" s="59">
        <v>32652</v>
      </c>
      <c r="N69" s="59">
        <v>425533</v>
      </c>
      <c r="O69" s="63">
        <v>497405</v>
      </c>
      <c r="P69" s="63">
        <f t="shared" si="2"/>
        <v>71872</v>
      </c>
      <c r="Q69" s="50">
        <v>1</v>
      </c>
      <c r="R69" s="50">
        <v>1</v>
      </c>
      <c r="S69" s="69" t="s">
        <v>76</v>
      </c>
      <c r="T69" s="50"/>
      <c r="U69" s="71" t="s">
        <v>347</v>
      </c>
      <c r="V69" s="50">
        <v>1</v>
      </c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</row>
    <row r="70" s="51" customFormat="1" ht="14.25" spans="1:209">
      <c r="A70" s="50"/>
      <c r="B70" s="50"/>
      <c r="C70" s="50"/>
      <c r="D70" s="50"/>
      <c r="E70" s="50"/>
      <c r="F70" s="50"/>
      <c r="G70" s="50"/>
      <c r="H70" s="60" t="s">
        <v>76</v>
      </c>
      <c r="I70" s="60" t="s">
        <v>284</v>
      </c>
      <c r="J70" s="59">
        <v>10329</v>
      </c>
      <c r="K70" s="59">
        <v>47260</v>
      </c>
      <c r="L70" s="59">
        <v>267281</v>
      </c>
      <c r="M70" s="59">
        <v>46127</v>
      </c>
      <c r="N70" s="59">
        <v>370997</v>
      </c>
      <c r="O70" s="63">
        <v>387606</v>
      </c>
      <c r="P70" s="63">
        <f t="shared" si="2"/>
        <v>16609</v>
      </c>
      <c r="Q70" s="50">
        <v>1</v>
      </c>
      <c r="R70" s="50">
        <v>1</v>
      </c>
      <c r="S70" s="69" t="s">
        <v>76</v>
      </c>
      <c r="T70" s="50"/>
      <c r="U70" s="23" t="s">
        <v>120</v>
      </c>
      <c r="V70" s="50">
        <v>1</v>
      </c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</row>
    <row r="71" s="51" customFormat="1" spans="1:209">
      <c r="A71" s="50"/>
      <c r="B71" s="50"/>
      <c r="C71" s="50"/>
      <c r="D71" s="50"/>
      <c r="E71" s="50"/>
      <c r="F71" s="50"/>
      <c r="G71" s="50"/>
      <c r="H71" s="60" t="s">
        <v>76</v>
      </c>
      <c r="I71" s="60" t="s">
        <v>286</v>
      </c>
      <c r="J71" s="59">
        <v>18514</v>
      </c>
      <c r="K71" s="59">
        <v>95792</v>
      </c>
      <c r="L71" s="59">
        <v>527130</v>
      </c>
      <c r="M71" s="59">
        <v>75043</v>
      </c>
      <c r="N71" s="59">
        <v>716479</v>
      </c>
      <c r="O71" s="63">
        <v>792270</v>
      </c>
      <c r="P71" s="63">
        <f t="shared" si="2"/>
        <v>75791</v>
      </c>
      <c r="Q71" s="50">
        <v>1</v>
      </c>
      <c r="R71" s="50">
        <v>1</v>
      </c>
      <c r="S71" s="69" t="s">
        <v>76</v>
      </c>
      <c r="T71" s="50"/>
      <c r="U71" s="71" t="s">
        <v>58</v>
      </c>
      <c r="V71" s="50">
        <v>1</v>
      </c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</row>
    <row r="72" s="51" customFormat="1" spans="1:209">
      <c r="A72" s="50"/>
      <c r="B72" s="50"/>
      <c r="C72" s="50"/>
      <c r="D72" s="50"/>
      <c r="E72" s="50"/>
      <c r="F72" s="50"/>
      <c r="G72" s="50"/>
      <c r="H72" s="60" t="s">
        <v>76</v>
      </c>
      <c r="I72" s="60" t="s">
        <v>288</v>
      </c>
      <c r="J72" s="59">
        <v>22766</v>
      </c>
      <c r="K72" s="59">
        <v>95665</v>
      </c>
      <c r="L72" s="59">
        <v>509069</v>
      </c>
      <c r="M72" s="59">
        <v>22187</v>
      </c>
      <c r="N72" s="59">
        <v>649687</v>
      </c>
      <c r="O72" s="63">
        <v>775857</v>
      </c>
      <c r="P72" s="63">
        <f t="shared" si="2"/>
        <v>126170</v>
      </c>
      <c r="Q72" s="50">
        <v>1</v>
      </c>
      <c r="R72" s="50">
        <v>1</v>
      </c>
      <c r="S72" s="69" t="s">
        <v>76</v>
      </c>
      <c r="T72" s="50"/>
      <c r="U72" s="72" t="s">
        <v>330</v>
      </c>
      <c r="V72" s="50">
        <v>1</v>
      </c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</row>
    <row r="73" s="51" customFormat="1" spans="1:209">
      <c r="A73" s="50"/>
      <c r="B73" s="50"/>
      <c r="C73" s="50"/>
      <c r="D73" s="50"/>
      <c r="E73" s="50"/>
      <c r="F73" s="50"/>
      <c r="G73" s="50"/>
      <c r="H73" s="60" t="s">
        <v>76</v>
      </c>
      <c r="I73" s="60" t="s">
        <v>290</v>
      </c>
      <c r="J73" s="59">
        <v>16303</v>
      </c>
      <c r="K73" s="59">
        <v>87403</v>
      </c>
      <c r="L73" s="59">
        <v>364394</v>
      </c>
      <c r="M73" s="59">
        <v>15837</v>
      </c>
      <c r="N73" s="59">
        <v>483937</v>
      </c>
      <c r="O73" s="63">
        <v>547387</v>
      </c>
      <c r="P73" s="63">
        <f t="shared" si="2"/>
        <v>63450</v>
      </c>
      <c r="Q73" s="50">
        <v>1</v>
      </c>
      <c r="R73" s="50">
        <v>1</v>
      </c>
      <c r="S73" s="69" t="s">
        <v>76</v>
      </c>
      <c r="T73" s="50"/>
      <c r="U73" s="71" t="s">
        <v>333</v>
      </c>
      <c r="V73" s="50">
        <v>1</v>
      </c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</row>
    <row r="74" s="51" customFormat="1" ht="14.25" spans="1:209">
      <c r="A74" s="50"/>
      <c r="B74" s="50"/>
      <c r="C74" s="50"/>
      <c r="D74" s="50"/>
      <c r="E74" s="50"/>
      <c r="F74" s="50"/>
      <c r="G74" s="50"/>
      <c r="H74" s="60" t="s">
        <v>100</v>
      </c>
      <c r="I74" s="60" t="s">
        <v>348</v>
      </c>
      <c r="J74" s="59">
        <v>8715</v>
      </c>
      <c r="K74" s="59">
        <v>39172</v>
      </c>
      <c r="L74" s="59">
        <v>251363</v>
      </c>
      <c r="M74" s="59">
        <v>9321</v>
      </c>
      <c r="N74" s="59">
        <v>308571</v>
      </c>
      <c r="O74" s="63">
        <v>290798</v>
      </c>
      <c r="P74" s="63">
        <f t="shared" si="2"/>
        <v>-17773</v>
      </c>
      <c r="Q74" s="50"/>
      <c r="R74" s="50">
        <v>1</v>
      </c>
      <c r="S74" s="69" t="s">
        <v>100</v>
      </c>
      <c r="T74" s="50"/>
      <c r="U74" s="23" t="s">
        <v>123</v>
      </c>
      <c r="V74" s="50">
        <v>1</v>
      </c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</row>
    <row r="75" s="51" customFormat="1" spans="1:209">
      <c r="A75" s="50"/>
      <c r="B75" s="50"/>
      <c r="C75" s="50"/>
      <c r="D75" s="50"/>
      <c r="E75" s="50"/>
      <c r="F75" s="50"/>
      <c r="G75" s="50"/>
      <c r="H75" s="60" t="s">
        <v>100</v>
      </c>
      <c r="I75" s="60" t="s">
        <v>349</v>
      </c>
      <c r="J75" s="59">
        <v>9800</v>
      </c>
      <c r="K75" s="59">
        <v>44373</v>
      </c>
      <c r="L75" s="59">
        <v>313201</v>
      </c>
      <c r="M75" s="59">
        <v>3013</v>
      </c>
      <c r="N75" s="59">
        <v>370387</v>
      </c>
      <c r="O75" s="63">
        <v>370105</v>
      </c>
      <c r="P75" s="63">
        <f t="shared" si="2"/>
        <v>-282</v>
      </c>
      <c r="Q75" s="50"/>
      <c r="R75" s="50">
        <v>1</v>
      </c>
      <c r="S75" s="69" t="s">
        <v>100</v>
      </c>
      <c r="T75" s="50"/>
      <c r="U75" s="71" t="s">
        <v>58</v>
      </c>
      <c r="V75" s="50">
        <v>1</v>
      </c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</row>
    <row r="76" s="51" customFormat="1" spans="1:209">
      <c r="A76" s="50"/>
      <c r="B76" s="50"/>
      <c r="C76" s="50"/>
      <c r="D76" s="50"/>
      <c r="E76" s="50"/>
      <c r="F76" s="50"/>
      <c r="G76" s="50"/>
      <c r="H76" s="60" t="s">
        <v>100</v>
      </c>
      <c r="I76" s="60" t="s">
        <v>321</v>
      </c>
      <c r="J76" s="59">
        <v>4581</v>
      </c>
      <c r="K76" s="59">
        <v>19701</v>
      </c>
      <c r="L76" s="59">
        <v>159858</v>
      </c>
      <c r="M76" s="59">
        <v>2528</v>
      </c>
      <c r="N76" s="59">
        <v>186668</v>
      </c>
      <c r="O76" s="63">
        <v>204859</v>
      </c>
      <c r="P76" s="63">
        <f t="shared" si="2"/>
        <v>18191</v>
      </c>
      <c r="Q76" s="50">
        <v>1</v>
      </c>
      <c r="R76" s="50">
        <v>1</v>
      </c>
      <c r="S76" s="69" t="s">
        <v>100</v>
      </c>
      <c r="T76" s="50"/>
      <c r="U76" s="71" t="s">
        <v>316</v>
      </c>
      <c r="V76" s="50">
        <v>1</v>
      </c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</row>
    <row r="77" s="51" customFormat="1" spans="1:209">
      <c r="A77" s="50"/>
      <c r="B77" s="50"/>
      <c r="C77" s="50"/>
      <c r="D77" s="50"/>
      <c r="E77" s="50"/>
      <c r="F77" s="50"/>
      <c r="G77" s="50"/>
      <c r="H77" s="60" t="s">
        <v>100</v>
      </c>
      <c r="I77" s="60" t="s">
        <v>323</v>
      </c>
      <c r="J77" s="59">
        <v>7748</v>
      </c>
      <c r="K77" s="59">
        <v>40623</v>
      </c>
      <c r="L77" s="59">
        <v>213383</v>
      </c>
      <c r="M77" s="59">
        <v>5145</v>
      </c>
      <c r="N77" s="59">
        <v>266899</v>
      </c>
      <c r="O77" s="63">
        <v>295089</v>
      </c>
      <c r="P77" s="63">
        <f t="shared" si="2"/>
        <v>28190</v>
      </c>
      <c r="Q77" s="50">
        <v>1</v>
      </c>
      <c r="R77" s="50">
        <v>1</v>
      </c>
      <c r="S77" s="69" t="s">
        <v>100</v>
      </c>
      <c r="T77" s="50"/>
      <c r="U77" s="71" t="s">
        <v>318</v>
      </c>
      <c r="V77" s="50">
        <v>1</v>
      </c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</row>
    <row r="78" s="51" customFormat="1" spans="1:209">
      <c r="A78" s="50"/>
      <c r="B78" s="50"/>
      <c r="C78" s="50"/>
      <c r="D78" s="50"/>
      <c r="E78" s="50"/>
      <c r="F78" s="50"/>
      <c r="G78" s="50"/>
      <c r="H78" s="60" t="s">
        <v>100</v>
      </c>
      <c r="I78" s="60" t="s">
        <v>325</v>
      </c>
      <c r="J78" s="59">
        <v>10429</v>
      </c>
      <c r="K78" s="59">
        <v>55150</v>
      </c>
      <c r="L78" s="59">
        <v>345116</v>
      </c>
      <c r="M78" s="59">
        <v>20967</v>
      </c>
      <c r="N78" s="59">
        <v>431662</v>
      </c>
      <c r="O78" s="63">
        <v>513139</v>
      </c>
      <c r="P78" s="63">
        <f t="shared" si="2"/>
        <v>81477</v>
      </c>
      <c r="Q78" s="50">
        <v>1</v>
      </c>
      <c r="R78" s="50">
        <v>1</v>
      </c>
      <c r="S78" s="69" t="s">
        <v>100</v>
      </c>
      <c r="T78" s="50"/>
      <c r="U78" s="71" t="s">
        <v>319</v>
      </c>
      <c r="V78" s="50">
        <v>1</v>
      </c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</row>
    <row r="79" s="51" customFormat="1" spans="1:209">
      <c r="A79" s="50"/>
      <c r="B79" s="50"/>
      <c r="C79" s="50"/>
      <c r="D79" s="50"/>
      <c r="E79" s="50"/>
      <c r="F79" s="50"/>
      <c r="G79" s="50"/>
      <c r="H79" s="60" t="s">
        <v>100</v>
      </c>
      <c r="I79" s="60" t="s">
        <v>327</v>
      </c>
      <c r="J79" s="59">
        <v>3063</v>
      </c>
      <c r="K79" s="59">
        <v>13974</v>
      </c>
      <c r="L79" s="59">
        <v>96302</v>
      </c>
      <c r="M79" s="59">
        <v>2716</v>
      </c>
      <c r="N79" s="59">
        <v>116055</v>
      </c>
      <c r="O79" s="63">
        <v>125560</v>
      </c>
      <c r="P79" s="63">
        <f t="shared" si="2"/>
        <v>9505</v>
      </c>
      <c r="Q79" s="50">
        <v>1</v>
      </c>
      <c r="R79" s="50">
        <v>1</v>
      </c>
      <c r="S79" s="69" t="s">
        <v>100</v>
      </c>
      <c r="T79" s="50"/>
      <c r="U79" s="71" t="s">
        <v>320</v>
      </c>
      <c r="V79" s="50">
        <v>1</v>
      </c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</row>
    <row r="80" s="51" customFormat="1" spans="1:209">
      <c r="A80" s="50"/>
      <c r="B80" s="50"/>
      <c r="C80" s="50"/>
      <c r="D80" s="50"/>
      <c r="E80" s="50"/>
      <c r="F80" s="50"/>
      <c r="G80" s="50"/>
      <c r="H80" s="60" t="s">
        <v>100</v>
      </c>
      <c r="I80" s="60" t="s">
        <v>329</v>
      </c>
      <c r="J80" s="59">
        <v>3041</v>
      </c>
      <c r="K80" s="59">
        <v>11999</v>
      </c>
      <c r="L80" s="59">
        <v>98874</v>
      </c>
      <c r="M80" s="59">
        <v>2651</v>
      </c>
      <c r="N80" s="59">
        <v>116565</v>
      </c>
      <c r="O80" s="63">
        <v>122978</v>
      </c>
      <c r="P80" s="63">
        <f t="shared" si="2"/>
        <v>6413</v>
      </c>
      <c r="Q80" s="50">
        <v>1</v>
      </c>
      <c r="R80" s="50">
        <v>1</v>
      </c>
      <c r="S80" s="69" t="s">
        <v>100</v>
      </c>
      <c r="T80" s="50"/>
      <c r="U80" s="71" t="s">
        <v>324</v>
      </c>
      <c r="V80" s="50">
        <v>1</v>
      </c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</row>
    <row r="81" s="51" customFormat="1" spans="1:209">
      <c r="A81" s="50"/>
      <c r="B81" s="50"/>
      <c r="C81" s="50"/>
      <c r="D81" s="50"/>
      <c r="E81" s="50"/>
      <c r="F81" s="50"/>
      <c r="G81" s="50"/>
      <c r="H81" s="60" t="s">
        <v>100</v>
      </c>
      <c r="I81" s="60" t="s">
        <v>331</v>
      </c>
      <c r="J81" s="59">
        <v>9294</v>
      </c>
      <c r="K81" s="59">
        <v>47677</v>
      </c>
      <c r="L81" s="59">
        <v>350634</v>
      </c>
      <c r="M81" s="59">
        <v>2592</v>
      </c>
      <c r="N81" s="59">
        <v>410197</v>
      </c>
      <c r="O81" s="63">
        <v>485149</v>
      </c>
      <c r="P81" s="63">
        <f t="shared" si="2"/>
        <v>74952</v>
      </c>
      <c r="Q81" s="50">
        <v>1</v>
      </c>
      <c r="R81" s="50">
        <v>1</v>
      </c>
      <c r="S81" s="69" t="s">
        <v>100</v>
      </c>
      <c r="T81" s="50"/>
      <c r="U81" s="72" t="s">
        <v>326</v>
      </c>
      <c r="V81" s="50">
        <v>1</v>
      </c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</row>
    <row r="82" s="51" customFormat="1" ht="14.25" spans="1:209">
      <c r="A82" s="50"/>
      <c r="B82" s="50"/>
      <c r="C82" s="50"/>
      <c r="D82" s="50"/>
      <c r="E82" s="50"/>
      <c r="F82" s="50"/>
      <c r="G82" s="50"/>
      <c r="H82" s="73" t="s">
        <v>83</v>
      </c>
      <c r="I82" s="73" t="s">
        <v>350</v>
      </c>
      <c r="J82" s="59">
        <v>22898</v>
      </c>
      <c r="K82" s="59">
        <v>111260</v>
      </c>
      <c r="L82" s="59">
        <v>463716</v>
      </c>
      <c r="M82" s="59">
        <v>39145</v>
      </c>
      <c r="N82" s="67">
        <v>637019</v>
      </c>
      <c r="O82" s="66">
        <v>650822</v>
      </c>
      <c r="P82" s="66">
        <f t="shared" si="2"/>
        <v>13803</v>
      </c>
      <c r="Q82" s="50"/>
      <c r="R82" s="50">
        <v>1</v>
      </c>
      <c r="S82" s="69" t="s">
        <v>83</v>
      </c>
      <c r="T82" s="50"/>
      <c r="U82" s="23" t="s">
        <v>132</v>
      </c>
      <c r="V82" s="50">
        <v>1</v>
      </c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</row>
    <row r="83" s="51" customFormat="1" spans="1:209">
      <c r="A83" s="50"/>
      <c r="B83" s="50"/>
      <c r="C83" s="50"/>
      <c r="D83" s="50"/>
      <c r="E83" s="50"/>
      <c r="F83" s="50"/>
      <c r="G83" s="50"/>
      <c r="H83" s="73" t="s">
        <v>83</v>
      </c>
      <c r="I83" s="73" t="s">
        <v>351</v>
      </c>
      <c r="J83" s="59">
        <v>23485</v>
      </c>
      <c r="K83" s="59">
        <v>114330</v>
      </c>
      <c r="L83" s="59">
        <v>640279</v>
      </c>
      <c r="M83" s="59">
        <v>40049</v>
      </c>
      <c r="N83" s="67">
        <v>818143</v>
      </c>
      <c r="O83" s="66">
        <v>893200</v>
      </c>
      <c r="P83" s="66">
        <f t="shared" si="2"/>
        <v>75057</v>
      </c>
      <c r="Q83" s="50"/>
      <c r="R83" s="50">
        <v>1</v>
      </c>
      <c r="S83" s="69" t="s">
        <v>83</v>
      </c>
      <c r="T83" s="50"/>
      <c r="U83" s="71" t="s">
        <v>58</v>
      </c>
      <c r="V83" s="50">
        <v>1</v>
      </c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</row>
    <row r="84" s="51" customFormat="1" spans="1:209">
      <c r="A84" s="50"/>
      <c r="B84" s="50"/>
      <c r="C84" s="50"/>
      <c r="D84" s="50"/>
      <c r="E84" s="50"/>
      <c r="F84" s="50"/>
      <c r="G84" s="50"/>
      <c r="H84" s="73" t="s">
        <v>83</v>
      </c>
      <c r="I84" s="73" t="s">
        <v>294</v>
      </c>
      <c r="J84" s="59">
        <v>16979</v>
      </c>
      <c r="K84" s="59">
        <v>86235</v>
      </c>
      <c r="L84" s="59">
        <v>488537</v>
      </c>
      <c r="M84" s="59">
        <v>88591</v>
      </c>
      <c r="N84" s="59">
        <v>680342</v>
      </c>
      <c r="O84" s="63">
        <v>766406</v>
      </c>
      <c r="P84" s="63">
        <f t="shared" si="2"/>
        <v>86064</v>
      </c>
      <c r="Q84" s="50">
        <v>1</v>
      </c>
      <c r="R84" s="50">
        <v>1</v>
      </c>
      <c r="S84" s="69" t="s">
        <v>83</v>
      </c>
      <c r="T84" s="50"/>
      <c r="U84" s="71" t="s">
        <v>352</v>
      </c>
      <c r="V84" s="50">
        <v>1</v>
      </c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</row>
    <row r="85" s="51" customFormat="1" ht="14.25" spans="1:209">
      <c r="A85" s="50"/>
      <c r="B85" s="50"/>
      <c r="C85" s="50"/>
      <c r="D85" s="50"/>
      <c r="E85" s="50"/>
      <c r="F85" s="50"/>
      <c r="G85" s="50"/>
      <c r="H85" s="73" t="s">
        <v>83</v>
      </c>
      <c r="I85" s="73" t="s">
        <v>296</v>
      </c>
      <c r="J85" s="59">
        <v>17777</v>
      </c>
      <c r="K85" s="59">
        <v>89332</v>
      </c>
      <c r="L85" s="59">
        <v>475107</v>
      </c>
      <c r="M85" s="59">
        <v>43594</v>
      </c>
      <c r="N85" s="59">
        <v>625810</v>
      </c>
      <c r="O85" s="63">
        <v>717342</v>
      </c>
      <c r="P85" s="63">
        <f t="shared" si="2"/>
        <v>91532</v>
      </c>
      <c r="Q85" s="50">
        <v>1</v>
      </c>
      <c r="R85" s="50">
        <v>1</v>
      </c>
      <c r="S85" s="69" t="s">
        <v>83</v>
      </c>
      <c r="T85" s="50"/>
      <c r="U85" s="23" t="s">
        <v>135</v>
      </c>
      <c r="V85" s="50">
        <v>1</v>
      </c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</row>
    <row r="86" s="51" customFormat="1" spans="1:209">
      <c r="A86" s="50"/>
      <c r="B86" s="50"/>
      <c r="C86" s="50"/>
      <c r="D86" s="50"/>
      <c r="E86" s="50"/>
      <c r="F86" s="50"/>
      <c r="G86" s="50"/>
      <c r="H86" s="73" t="s">
        <v>83</v>
      </c>
      <c r="I86" s="73" t="s">
        <v>298</v>
      </c>
      <c r="J86" s="59">
        <v>8987</v>
      </c>
      <c r="K86" s="59">
        <v>51171</v>
      </c>
      <c r="L86" s="59">
        <v>384774</v>
      </c>
      <c r="M86" s="59">
        <v>49430</v>
      </c>
      <c r="N86" s="59">
        <v>494362</v>
      </c>
      <c r="O86" s="63">
        <v>574175</v>
      </c>
      <c r="P86" s="63">
        <f t="shared" si="2"/>
        <v>79813</v>
      </c>
      <c r="Q86" s="50">
        <v>1</v>
      </c>
      <c r="R86" s="50">
        <v>1</v>
      </c>
      <c r="S86" s="69" t="s">
        <v>83</v>
      </c>
      <c r="T86" s="50"/>
      <c r="U86" s="71" t="s">
        <v>58</v>
      </c>
      <c r="V86" s="50">
        <v>1</v>
      </c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</row>
    <row r="87" s="51" customFormat="1" spans="1:209">
      <c r="A87" s="50"/>
      <c r="B87" s="50"/>
      <c r="C87" s="50"/>
      <c r="D87" s="50"/>
      <c r="E87" s="50"/>
      <c r="F87" s="50"/>
      <c r="G87" s="50"/>
      <c r="H87" s="60" t="s">
        <v>135</v>
      </c>
      <c r="I87" s="60" t="s">
        <v>353</v>
      </c>
      <c r="J87" s="59">
        <v>26131</v>
      </c>
      <c r="K87" s="59">
        <v>125540</v>
      </c>
      <c r="L87" s="59">
        <v>526816</v>
      </c>
      <c r="M87" s="59">
        <v>6466</v>
      </c>
      <c r="N87" s="59">
        <v>684953</v>
      </c>
      <c r="O87" s="63">
        <v>626061</v>
      </c>
      <c r="P87" s="63">
        <f t="shared" si="2"/>
        <v>-58892</v>
      </c>
      <c r="Q87" s="50"/>
      <c r="R87" s="50">
        <v>1</v>
      </c>
      <c r="S87" s="69" t="s">
        <v>135</v>
      </c>
      <c r="T87" s="50"/>
      <c r="U87" s="71" t="s">
        <v>354</v>
      </c>
      <c r="V87" s="50">
        <v>1</v>
      </c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</row>
    <row r="88" s="51" customFormat="1" spans="1:209">
      <c r="A88" s="50"/>
      <c r="B88" s="50"/>
      <c r="C88" s="50"/>
      <c r="D88" s="50"/>
      <c r="E88" s="50"/>
      <c r="F88" s="50"/>
      <c r="G88" s="50"/>
      <c r="H88" s="60" t="s">
        <v>135</v>
      </c>
      <c r="I88" s="60" t="s">
        <v>355</v>
      </c>
      <c r="J88" s="59">
        <v>21219</v>
      </c>
      <c r="K88" s="59">
        <v>89294</v>
      </c>
      <c r="L88" s="59">
        <v>492903</v>
      </c>
      <c r="M88" s="59">
        <v>10110</v>
      </c>
      <c r="N88" s="59">
        <v>613526</v>
      </c>
      <c r="O88" s="63">
        <v>601991</v>
      </c>
      <c r="P88" s="63">
        <f t="shared" si="2"/>
        <v>-11535</v>
      </c>
      <c r="Q88" s="50"/>
      <c r="R88" s="50">
        <v>1</v>
      </c>
      <c r="S88" s="69" t="s">
        <v>135</v>
      </c>
      <c r="T88" s="50"/>
      <c r="U88" s="71" t="s">
        <v>356</v>
      </c>
      <c r="V88" s="50">
        <v>1</v>
      </c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</row>
    <row r="89" s="51" customFormat="1" spans="1:209">
      <c r="A89" s="50"/>
      <c r="B89" s="50"/>
      <c r="C89" s="50"/>
      <c r="D89" s="50"/>
      <c r="E89" s="50"/>
      <c r="F89" s="50"/>
      <c r="G89" s="50"/>
      <c r="H89" s="60" t="s">
        <v>135</v>
      </c>
      <c r="I89" s="60" t="s">
        <v>354</v>
      </c>
      <c r="J89" s="59">
        <v>17870</v>
      </c>
      <c r="K89" s="59">
        <v>64611</v>
      </c>
      <c r="L89" s="59">
        <v>271084</v>
      </c>
      <c r="M89" s="59">
        <v>21149</v>
      </c>
      <c r="N89" s="59">
        <v>374714</v>
      </c>
      <c r="O89" s="63">
        <v>410328</v>
      </c>
      <c r="P89" s="63">
        <f t="shared" si="2"/>
        <v>35614</v>
      </c>
      <c r="Q89" s="50">
        <v>1</v>
      </c>
      <c r="R89" s="50">
        <v>1</v>
      </c>
      <c r="S89" s="69" t="s">
        <v>135</v>
      </c>
      <c r="T89" s="50"/>
      <c r="U89" s="71" t="s">
        <v>357</v>
      </c>
      <c r="V89" s="50">
        <v>1</v>
      </c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</row>
    <row r="90" s="51" customFormat="1" ht="14.25" spans="1:209">
      <c r="A90" s="50"/>
      <c r="B90" s="50"/>
      <c r="C90" s="50"/>
      <c r="D90" s="50"/>
      <c r="E90" s="50"/>
      <c r="F90" s="50"/>
      <c r="G90" s="50"/>
      <c r="H90" s="60" t="s">
        <v>135</v>
      </c>
      <c r="I90" s="60" t="s">
        <v>356</v>
      </c>
      <c r="J90" s="59">
        <v>26304</v>
      </c>
      <c r="K90" s="59">
        <v>125633</v>
      </c>
      <c r="L90" s="59">
        <v>395706</v>
      </c>
      <c r="M90" s="59">
        <v>3991</v>
      </c>
      <c r="N90" s="59">
        <v>551634</v>
      </c>
      <c r="O90" s="63">
        <v>574020</v>
      </c>
      <c r="P90" s="63">
        <f t="shared" si="2"/>
        <v>22386</v>
      </c>
      <c r="Q90" s="50">
        <v>1</v>
      </c>
      <c r="R90" s="50">
        <v>1</v>
      </c>
      <c r="S90" s="69" t="s">
        <v>135</v>
      </c>
      <c r="T90" s="50"/>
      <c r="U90" s="23" t="s">
        <v>140</v>
      </c>
      <c r="V90" s="50">
        <v>1</v>
      </c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</row>
    <row r="91" s="51" customFormat="1" spans="1:209">
      <c r="A91" s="50"/>
      <c r="B91" s="50"/>
      <c r="C91" s="50"/>
      <c r="D91" s="50"/>
      <c r="E91" s="50"/>
      <c r="F91" s="50"/>
      <c r="G91" s="50"/>
      <c r="H91" s="60" t="s">
        <v>135</v>
      </c>
      <c r="I91" s="60" t="s">
        <v>357</v>
      </c>
      <c r="J91" s="59">
        <v>61571</v>
      </c>
      <c r="K91" s="59">
        <v>263922</v>
      </c>
      <c r="L91" s="59">
        <v>877000</v>
      </c>
      <c r="M91" s="59">
        <v>12776</v>
      </c>
      <c r="N91" s="59">
        <v>1215269</v>
      </c>
      <c r="O91" s="63">
        <v>1205460</v>
      </c>
      <c r="P91" s="63">
        <f t="shared" si="2"/>
        <v>-9809</v>
      </c>
      <c r="Q91" s="50">
        <v>1</v>
      </c>
      <c r="R91" s="50">
        <v>1</v>
      </c>
      <c r="S91" s="69" t="s">
        <v>135</v>
      </c>
      <c r="T91" s="50"/>
      <c r="U91" s="71" t="s">
        <v>58</v>
      </c>
      <c r="V91" s="50">
        <v>1</v>
      </c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</row>
    <row r="92" s="51" customFormat="1" spans="1:209">
      <c r="A92" s="50"/>
      <c r="B92" s="50"/>
      <c r="C92" s="50"/>
      <c r="D92" s="50"/>
      <c r="E92" s="50"/>
      <c r="F92" s="50"/>
      <c r="G92" s="50"/>
      <c r="H92" s="73" t="s">
        <v>70</v>
      </c>
      <c r="I92" s="73" t="s">
        <v>358</v>
      </c>
      <c r="J92" s="59">
        <v>25121</v>
      </c>
      <c r="K92" s="59">
        <v>126648</v>
      </c>
      <c r="L92" s="59">
        <v>556455</v>
      </c>
      <c r="M92" s="59">
        <v>7913</v>
      </c>
      <c r="N92" s="59">
        <v>716137</v>
      </c>
      <c r="O92" s="63">
        <v>614730</v>
      </c>
      <c r="P92" s="63">
        <f t="shared" si="2"/>
        <v>-101407</v>
      </c>
      <c r="Q92" s="50"/>
      <c r="R92" s="50"/>
      <c r="S92" s="69" t="s">
        <v>70</v>
      </c>
      <c r="T92" s="50"/>
      <c r="U92" s="71" t="s">
        <v>335</v>
      </c>
      <c r="V92" s="50">
        <v>1</v>
      </c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</row>
    <row r="93" s="51" customFormat="1" spans="1:209">
      <c r="A93" s="50"/>
      <c r="B93" s="50"/>
      <c r="C93" s="50"/>
      <c r="D93" s="50"/>
      <c r="E93" s="50"/>
      <c r="F93" s="50"/>
      <c r="G93" s="50"/>
      <c r="H93" s="73" t="s">
        <v>70</v>
      </c>
      <c r="I93" s="73" t="s">
        <v>359</v>
      </c>
      <c r="J93" s="59">
        <v>12211</v>
      </c>
      <c r="K93" s="59">
        <v>63515</v>
      </c>
      <c r="L93" s="59">
        <v>262496</v>
      </c>
      <c r="M93" s="59">
        <v>7506</v>
      </c>
      <c r="N93" s="59">
        <v>345728</v>
      </c>
      <c r="O93" s="63">
        <v>265532</v>
      </c>
      <c r="P93" s="63">
        <f t="shared" si="2"/>
        <v>-80196</v>
      </c>
      <c r="Q93" s="50"/>
      <c r="R93" s="50"/>
      <c r="S93" s="69" t="s">
        <v>70</v>
      </c>
      <c r="T93" s="50"/>
      <c r="U93" s="71" t="s">
        <v>336</v>
      </c>
      <c r="V93" s="50">
        <v>1</v>
      </c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</row>
    <row r="94" s="51" customFormat="1" spans="1:209">
      <c r="A94" s="50"/>
      <c r="B94" s="50"/>
      <c r="C94" s="50"/>
      <c r="D94" s="50"/>
      <c r="E94" s="50"/>
      <c r="F94" s="50"/>
      <c r="G94" s="50"/>
      <c r="H94" s="73" t="s">
        <v>70</v>
      </c>
      <c r="I94" s="73" t="s">
        <v>360</v>
      </c>
      <c r="J94" s="59">
        <v>21083</v>
      </c>
      <c r="K94" s="59">
        <v>124387</v>
      </c>
      <c r="L94" s="59">
        <v>563485</v>
      </c>
      <c r="M94" s="59">
        <v>10568</v>
      </c>
      <c r="N94" s="59">
        <v>719523</v>
      </c>
      <c r="O94" s="63">
        <v>650576</v>
      </c>
      <c r="P94" s="63">
        <f t="shared" si="2"/>
        <v>-68947</v>
      </c>
      <c r="Q94" s="50"/>
      <c r="R94" s="50"/>
      <c r="S94" s="69" t="s">
        <v>70</v>
      </c>
      <c r="T94" s="50"/>
      <c r="U94" s="71" t="s">
        <v>338</v>
      </c>
      <c r="V94" s="50">
        <v>1</v>
      </c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</row>
    <row r="95" s="51" customFormat="1" spans="1:209">
      <c r="A95" s="50"/>
      <c r="B95" s="50"/>
      <c r="C95" s="50"/>
      <c r="D95" s="50"/>
      <c r="E95" s="50"/>
      <c r="F95" s="50"/>
      <c r="G95" s="50"/>
      <c r="H95" s="73" t="s">
        <v>70</v>
      </c>
      <c r="I95" s="73" t="s">
        <v>273</v>
      </c>
      <c r="J95" s="59">
        <v>11086</v>
      </c>
      <c r="K95" s="59">
        <v>74294</v>
      </c>
      <c r="L95" s="59">
        <v>473721</v>
      </c>
      <c r="M95" s="59">
        <v>12572</v>
      </c>
      <c r="N95" s="59">
        <v>571673</v>
      </c>
      <c r="O95" s="63">
        <v>649594</v>
      </c>
      <c r="P95" s="63">
        <f t="shared" si="2"/>
        <v>77921</v>
      </c>
      <c r="Q95" s="50">
        <v>1</v>
      </c>
      <c r="R95" s="50"/>
      <c r="S95" s="69" t="s">
        <v>70</v>
      </c>
      <c r="T95" s="50"/>
      <c r="U95" s="52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</row>
    <row r="96" s="51" customFormat="1" spans="1:209">
      <c r="A96" s="50"/>
      <c r="B96" s="50"/>
      <c r="C96" s="50"/>
      <c r="D96" s="50"/>
      <c r="E96" s="50"/>
      <c r="F96" s="50"/>
      <c r="G96" s="50"/>
      <c r="H96" s="73" t="s">
        <v>70</v>
      </c>
      <c r="I96" s="73" t="s">
        <v>274</v>
      </c>
      <c r="J96" s="59">
        <v>12724</v>
      </c>
      <c r="K96" s="59">
        <v>77719</v>
      </c>
      <c r="L96" s="59">
        <v>421212</v>
      </c>
      <c r="M96" s="59">
        <v>19214</v>
      </c>
      <c r="N96" s="59">
        <v>530869</v>
      </c>
      <c r="O96" s="63">
        <v>527010</v>
      </c>
      <c r="P96" s="63">
        <f t="shared" si="2"/>
        <v>-3859</v>
      </c>
      <c r="Q96" s="50">
        <v>1</v>
      </c>
      <c r="R96" s="50"/>
      <c r="S96" s="69" t="s">
        <v>70</v>
      </c>
      <c r="T96" s="50"/>
      <c r="U96" s="74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</row>
    <row r="97" s="51" customFormat="1" spans="1:209">
      <c r="A97" s="50"/>
      <c r="B97" s="50"/>
      <c r="C97" s="50"/>
      <c r="D97" s="50"/>
      <c r="E97" s="50"/>
      <c r="F97" s="50"/>
      <c r="G97" s="50"/>
      <c r="H97" s="73" t="s">
        <v>70</v>
      </c>
      <c r="I97" s="73" t="s">
        <v>276</v>
      </c>
      <c r="J97" s="59">
        <v>12287</v>
      </c>
      <c r="K97" s="59">
        <v>78607</v>
      </c>
      <c r="L97" s="59">
        <v>364756</v>
      </c>
      <c r="M97" s="59">
        <v>5986</v>
      </c>
      <c r="N97" s="59">
        <v>461636</v>
      </c>
      <c r="O97" s="63">
        <v>381458</v>
      </c>
      <c r="P97" s="63">
        <f t="shared" si="2"/>
        <v>-80178</v>
      </c>
      <c r="Q97" s="50">
        <v>1</v>
      </c>
      <c r="R97" s="50"/>
      <c r="S97" s="69" t="s">
        <v>70</v>
      </c>
      <c r="T97" s="50"/>
      <c r="U97" s="52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</row>
    <row r="98" s="51" customFormat="1" spans="1:209">
      <c r="A98" s="50"/>
      <c r="B98" s="50"/>
      <c r="C98" s="50"/>
      <c r="D98" s="50"/>
      <c r="E98" s="50"/>
      <c r="F98" s="50"/>
      <c r="G98" s="50"/>
      <c r="H98" s="73" t="s">
        <v>70</v>
      </c>
      <c r="I98" s="73" t="s">
        <v>278</v>
      </c>
      <c r="J98" s="59">
        <v>7441</v>
      </c>
      <c r="K98" s="59">
        <v>45676</v>
      </c>
      <c r="L98" s="59">
        <v>256272</v>
      </c>
      <c r="M98" s="59">
        <v>8572</v>
      </c>
      <c r="N98" s="59">
        <v>317961</v>
      </c>
      <c r="O98" s="63">
        <v>343851</v>
      </c>
      <c r="P98" s="63">
        <f t="shared" si="2"/>
        <v>25890</v>
      </c>
      <c r="Q98" s="50">
        <v>1</v>
      </c>
      <c r="R98" s="50"/>
      <c r="S98" s="69" t="s">
        <v>70</v>
      </c>
      <c r="T98" s="50"/>
      <c r="U98" s="52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</row>
    <row r="99" s="51" customFormat="1" spans="1:209">
      <c r="A99" s="50"/>
      <c r="B99" s="50"/>
      <c r="C99" s="50"/>
      <c r="D99" s="50"/>
      <c r="E99" s="50"/>
      <c r="F99" s="50"/>
      <c r="G99" s="50"/>
      <c r="H99" s="60" t="s">
        <v>95</v>
      </c>
      <c r="I99" s="60" t="s">
        <v>361</v>
      </c>
      <c r="J99" s="59">
        <v>56221</v>
      </c>
      <c r="K99" s="59">
        <v>272672</v>
      </c>
      <c r="L99" s="59">
        <v>987073</v>
      </c>
      <c r="M99" s="59">
        <v>13619</v>
      </c>
      <c r="N99" s="59">
        <v>1329585</v>
      </c>
      <c r="O99" s="63">
        <v>1444347</v>
      </c>
      <c r="P99" s="63">
        <f t="shared" si="2"/>
        <v>114762</v>
      </c>
      <c r="Q99" s="50"/>
      <c r="R99" s="50">
        <v>1</v>
      </c>
      <c r="S99" s="69" t="s">
        <v>95</v>
      </c>
      <c r="T99" s="50"/>
      <c r="U99" s="52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</row>
    <row r="100" s="51" customFormat="1" spans="1:209">
      <c r="A100" s="50"/>
      <c r="B100" s="50"/>
      <c r="C100" s="50"/>
      <c r="D100" s="50"/>
      <c r="E100" s="50"/>
      <c r="F100" s="50"/>
      <c r="G100" s="50"/>
      <c r="H100" s="60" t="s">
        <v>95</v>
      </c>
      <c r="I100" s="60" t="s">
        <v>362</v>
      </c>
      <c r="J100" s="59">
        <v>41564</v>
      </c>
      <c r="K100" s="59">
        <v>238958</v>
      </c>
      <c r="L100" s="59">
        <v>791039</v>
      </c>
      <c r="M100" s="59">
        <v>11199</v>
      </c>
      <c r="N100" s="59">
        <v>1082760</v>
      </c>
      <c r="O100" s="63">
        <v>1047929</v>
      </c>
      <c r="P100" s="63">
        <f t="shared" ref="P100:P131" si="3">O100-N100</f>
        <v>-34831</v>
      </c>
      <c r="Q100" s="50"/>
      <c r="R100" s="50">
        <v>1</v>
      </c>
      <c r="S100" s="69" t="s">
        <v>95</v>
      </c>
      <c r="T100" s="50"/>
      <c r="U100" s="52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</row>
    <row r="101" s="51" customFormat="1" spans="1:209">
      <c r="A101" s="50"/>
      <c r="B101" s="50"/>
      <c r="C101" s="50"/>
      <c r="D101" s="50"/>
      <c r="E101" s="50"/>
      <c r="F101" s="50"/>
      <c r="G101" s="50"/>
      <c r="H101" s="60" t="s">
        <v>95</v>
      </c>
      <c r="I101" s="60" t="s">
        <v>313</v>
      </c>
      <c r="J101" s="59">
        <v>38657</v>
      </c>
      <c r="K101" s="59">
        <v>220088</v>
      </c>
      <c r="L101" s="59">
        <v>854602</v>
      </c>
      <c r="M101" s="59">
        <v>11820</v>
      </c>
      <c r="N101" s="59">
        <v>1125167</v>
      </c>
      <c r="O101" s="63">
        <v>826100</v>
      </c>
      <c r="P101" s="63">
        <f t="shared" si="3"/>
        <v>-299067</v>
      </c>
      <c r="Q101" s="50">
        <v>1</v>
      </c>
      <c r="R101" s="50">
        <v>1</v>
      </c>
      <c r="S101" s="69" t="s">
        <v>95</v>
      </c>
      <c r="T101" s="50"/>
      <c r="U101" s="52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</row>
    <row r="102" s="51" customFormat="1" spans="1:209">
      <c r="A102" s="50"/>
      <c r="B102" s="50"/>
      <c r="C102" s="50"/>
      <c r="D102" s="50"/>
      <c r="E102" s="50"/>
      <c r="F102" s="50"/>
      <c r="G102" s="50"/>
      <c r="H102" s="60" t="s">
        <v>95</v>
      </c>
      <c r="I102" s="60" t="s">
        <v>315</v>
      </c>
      <c r="J102" s="59">
        <v>20585</v>
      </c>
      <c r="K102" s="59">
        <v>128906</v>
      </c>
      <c r="L102" s="59">
        <v>612588</v>
      </c>
      <c r="M102" s="59">
        <v>16186</v>
      </c>
      <c r="N102" s="59">
        <v>778265</v>
      </c>
      <c r="O102" s="63">
        <v>667221</v>
      </c>
      <c r="P102" s="63">
        <f t="shared" si="3"/>
        <v>-111044</v>
      </c>
      <c r="Q102" s="50">
        <v>1</v>
      </c>
      <c r="R102" s="50">
        <v>1</v>
      </c>
      <c r="S102" s="69" t="s">
        <v>95</v>
      </c>
      <c r="T102" s="50"/>
      <c r="U102" s="52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</row>
    <row r="103" s="51" customFormat="1" spans="1:209">
      <c r="A103" s="50"/>
      <c r="B103" s="50"/>
      <c r="C103" s="50"/>
      <c r="D103" s="50"/>
      <c r="E103" s="50"/>
      <c r="F103" s="50"/>
      <c r="G103" s="50"/>
      <c r="H103" s="60" t="s">
        <v>95</v>
      </c>
      <c r="I103" s="60" t="s">
        <v>317</v>
      </c>
      <c r="J103" s="59">
        <v>5903</v>
      </c>
      <c r="K103" s="59">
        <v>23361</v>
      </c>
      <c r="L103" s="59">
        <v>173125</v>
      </c>
      <c r="M103" s="59">
        <v>5460</v>
      </c>
      <c r="N103" s="59">
        <v>207849</v>
      </c>
      <c r="O103" s="63">
        <v>209094</v>
      </c>
      <c r="P103" s="63">
        <f t="shared" si="3"/>
        <v>1245</v>
      </c>
      <c r="Q103" s="50">
        <v>1</v>
      </c>
      <c r="R103" s="50">
        <v>1</v>
      </c>
      <c r="S103" s="69" t="s">
        <v>95</v>
      </c>
      <c r="T103" s="50"/>
      <c r="U103" s="52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</row>
    <row r="104" s="51" customFormat="1" spans="1:209">
      <c r="A104" s="50"/>
      <c r="B104" s="50"/>
      <c r="C104" s="50"/>
      <c r="D104" s="50"/>
      <c r="E104" s="50"/>
      <c r="F104" s="50"/>
      <c r="G104" s="50"/>
      <c r="H104" s="60" t="s">
        <v>95</v>
      </c>
      <c r="I104" s="60" t="s">
        <v>363</v>
      </c>
      <c r="J104" s="59">
        <v>17421</v>
      </c>
      <c r="K104" s="59">
        <v>95433</v>
      </c>
      <c r="L104" s="59">
        <v>310972</v>
      </c>
      <c r="M104" s="59">
        <v>1559</v>
      </c>
      <c r="N104" s="59">
        <v>425385</v>
      </c>
      <c r="O104" s="63" t="e">
        <v>#N/A</v>
      </c>
      <c r="P104" s="63" t="e">
        <f t="shared" si="3"/>
        <v>#N/A</v>
      </c>
      <c r="Q104" s="50"/>
      <c r="R104" s="50">
        <v>1</v>
      </c>
      <c r="S104" s="69" t="s">
        <v>95</v>
      </c>
      <c r="T104" s="50"/>
      <c r="U104" s="52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</row>
    <row r="105" s="51" customFormat="1" spans="1:209">
      <c r="A105" s="50"/>
      <c r="B105" s="50"/>
      <c r="C105" s="50"/>
      <c r="D105" s="50"/>
      <c r="E105" s="50"/>
      <c r="F105" s="50"/>
      <c r="G105" s="50"/>
      <c r="H105" s="60" t="s">
        <v>95</v>
      </c>
      <c r="I105" s="60" t="s">
        <v>364</v>
      </c>
      <c r="J105" s="59">
        <v>25899</v>
      </c>
      <c r="K105" s="59">
        <v>140302</v>
      </c>
      <c r="L105" s="59">
        <v>441482</v>
      </c>
      <c r="M105" s="59">
        <v>2753</v>
      </c>
      <c r="N105" s="59">
        <v>610436</v>
      </c>
      <c r="O105" s="63" t="e">
        <v>#N/A</v>
      </c>
      <c r="P105" s="63" t="e">
        <f t="shared" si="3"/>
        <v>#N/A</v>
      </c>
      <c r="Q105" s="50"/>
      <c r="R105" s="50">
        <v>1</v>
      </c>
      <c r="S105" s="69" t="s">
        <v>95</v>
      </c>
      <c r="T105" s="50"/>
      <c r="U105" s="52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</row>
    <row r="106" s="51" customFormat="1" spans="1:209">
      <c r="A106" s="50"/>
      <c r="B106" s="50"/>
      <c r="C106" s="50"/>
      <c r="D106" s="50"/>
      <c r="E106" s="50"/>
      <c r="F106" s="50"/>
      <c r="G106" s="50"/>
      <c r="H106" s="58" t="s">
        <v>113</v>
      </c>
      <c r="I106" s="58" t="s">
        <v>365</v>
      </c>
      <c r="J106" s="59">
        <v>18957</v>
      </c>
      <c r="K106" s="59">
        <v>87037</v>
      </c>
      <c r="L106" s="59">
        <v>421643</v>
      </c>
      <c r="M106" s="59">
        <v>8579</v>
      </c>
      <c r="N106" s="59">
        <v>536216</v>
      </c>
      <c r="O106" s="63">
        <v>468130</v>
      </c>
      <c r="P106" s="63">
        <f t="shared" si="3"/>
        <v>-68086</v>
      </c>
      <c r="Q106" s="50"/>
      <c r="R106" s="50">
        <v>1</v>
      </c>
      <c r="S106" s="69" t="s">
        <v>113</v>
      </c>
      <c r="T106" s="50"/>
      <c r="U106" s="52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</row>
    <row r="107" s="51" customFormat="1" spans="1:209">
      <c r="A107" s="50"/>
      <c r="B107" s="50"/>
      <c r="C107" s="50"/>
      <c r="D107" s="50"/>
      <c r="E107" s="50"/>
      <c r="F107" s="50"/>
      <c r="G107" s="50"/>
      <c r="H107" s="58" t="s">
        <v>113</v>
      </c>
      <c r="I107" s="58" t="s">
        <v>366</v>
      </c>
      <c r="J107" s="59">
        <v>3181</v>
      </c>
      <c r="K107" s="59">
        <v>16246</v>
      </c>
      <c r="L107" s="59">
        <v>70276</v>
      </c>
      <c r="M107" s="59">
        <v>410</v>
      </c>
      <c r="N107" s="59">
        <v>90113</v>
      </c>
      <c r="O107" s="63" t="e">
        <v>#N/A</v>
      </c>
      <c r="P107" s="63" t="e">
        <f t="shared" si="3"/>
        <v>#N/A</v>
      </c>
      <c r="Q107" s="50"/>
      <c r="R107" s="50">
        <v>1</v>
      </c>
      <c r="S107" s="69" t="s">
        <v>113</v>
      </c>
      <c r="T107" s="50"/>
      <c r="U107" s="52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</row>
    <row r="108" s="51" customFormat="1" spans="1:209">
      <c r="A108" s="50"/>
      <c r="B108" s="50"/>
      <c r="C108" s="50"/>
      <c r="D108" s="50"/>
      <c r="E108" s="50"/>
      <c r="F108" s="50"/>
      <c r="G108" s="50"/>
      <c r="H108" s="58" t="s">
        <v>113</v>
      </c>
      <c r="I108" s="58" t="s">
        <v>340</v>
      </c>
      <c r="J108" s="59">
        <v>7279</v>
      </c>
      <c r="K108" s="59">
        <v>41067</v>
      </c>
      <c r="L108" s="59">
        <v>189794</v>
      </c>
      <c r="M108" s="59">
        <v>5251</v>
      </c>
      <c r="N108" s="59">
        <v>243391</v>
      </c>
      <c r="O108" s="63">
        <v>318346</v>
      </c>
      <c r="P108" s="63">
        <f t="shared" si="3"/>
        <v>74955</v>
      </c>
      <c r="Q108" s="50">
        <v>1</v>
      </c>
      <c r="R108" s="50">
        <v>1</v>
      </c>
      <c r="S108" s="69" t="s">
        <v>113</v>
      </c>
      <c r="T108" s="50"/>
      <c r="U108" s="52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</row>
    <row r="109" s="51" customFormat="1" spans="1:209">
      <c r="A109" s="50"/>
      <c r="B109" s="50"/>
      <c r="C109" s="50"/>
      <c r="D109" s="50"/>
      <c r="E109" s="50"/>
      <c r="F109" s="50"/>
      <c r="G109" s="50"/>
      <c r="H109" s="58" t="s">
        <v>113</v>
      </c>
      <c r="I109" s="58" t="s">
        <v>342</v>
      </c>
      <c r="J109" s="59">
        <v>9626</v>
      </c>
      <c r="K109" s="59">
        <v>50668</v>
      </c>
      <c r="L109" s="59">
        <v>233624</v>
      </c>
      <c r="M109" s="59">
        <v>3661</v>
      </c>
      <c r="N109" s="59">
        <v>297579</v>
      </c>
      <c r="O109" s="63">
        <v>349329</v>
      </c>
      <c r="P109" s="63">
        <f t="shared" si="3"/>
        <v>51750</v>
      </c>
      <c r="Q109" s="50">
        <v>1</v>
      </c>
      <c r="R109" s="50">
        <v>1</v>
      </c>
      <c r="S109" s="69" t="s">
        <v>113</v>
      </c>
      <c r="T109" s="50"/>
      <c r="U109" s="52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</row>
    <row r="110" s="51" customFormat="1" spans="1:209">
      <c r="A110" s="50"/>
      <c r="B110" s="50"/>
      <c r="C110" s="50"/>
      <c r="D110" s="50"/>
      <c r="E110" s="50"/>
      <c r="F110" s="50"/>
      <c r="G110" s="50"/>
      <c r="H110" s="58" t="s">
        <v>113</v>
      </c>
      <c r="I110" s="58" t="s">
        <v>344</v>
      </c>
      <c r="J110" s="59">
        <v>4602</v>
      </c>
      <c r="K110" s="59">
        <v>27519</v>
      </c>
      <c r="L110" s="59">
        <v>128549</v>
      </c>
      <c r="M110" s="59">
        <v>4212</v>
      </c>
      <c r="N110" s="59">
        <v>164882</v>
      </c>
      <c r="O110" s="63">
        <v>176812</v>
      </c>
      <c r="P110" s="63">
        <f t="shared" si="3"/>
        <v>11930</v>
      </c>
      <c r="Q110" s="50">
        <v>1</v>
      </c>
      <c r="R110" s="50">
        <v>1</v>
      </c>
      <c r="S110" s="69" t="s">
        <v>113</v>
      </c>
      <c r="T110" s="50"/>
      <c r="U110" s="52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</row>
    <row r="111" s="51" customFormat="1" spans="1:209">
      <c r="A111" s="50"/>
      <c r="B111" s="50"/>
      <c r="C111" s="50"/>
      <c r="D111" s="50"/>
      <c r="E111" s="50"/>
      <c r="F111" s="50"/>
      <c r="G111" s="50"/>
      <c r="H111" s="58" t="s">
        <v>113</v>
      </c>
      <c r="I111" s="58" t="s">
        <v>346</v>
      </c>
      <c r="J111" s="59">
        <v>5843</v>
      </c>
      <c r="K111" s="59">
        <v>28003</v>
      </c>
      <c r="L111" s="59">
        <v>133717</v>
      </c>
      <c r="M111" s="59">
        <v>2360</v>
      </c>
      <c r="N111" s="59">
        <v>169923</v>
      </c>
      <c r="O111" s="63">
        <v>207762</v>
      </c>
      <c r="P111" s="63">
        <f t="shared" si="3"/>
        <v>37839</v>
      </c>
      <c r="Q111" s="50">
        <v>1</v>
      </c>
      <c r="R111" s="50">
        <v>1</v>
      </c>
      <c r="S111" s="69" t="s">
        <v>113</v>
      </c>
      <c r="T111" s="50"/>
      <c r="U111" s="52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</row>
    <row r="112" s="51" customFormat="1" spans="1:209">
      <c r="A112" s="50"/>
      <c r="B112" s="50"/>
      <c r="C112" s="50"/>
      <c r="D112" s="50"/>
      <c r="E112" s="50"/>
      <c r="F112" s="50"/>
      <c r="G112" s="50"/>
      <c r="H112" s="58" t="s">
        <v>113</v>
      </c>
      <c r="I112" s="58" t="s">
        <v>347</v>
      </c>
      <c r="J112" s="59">
        <v>6350</v>
      </c>
      <c r="K112" s="59">
        <v>37463</v>
      </c>
      <c r="L112" s="59">
        <v>165564</v>
      </c>
      <c r="M112" s="59">
        <v>4856</v>
      </c>
      <c r="N112" s="59">
        <v>214233</v>
      </c>
      <c r="O112" s="63">
        <v>214716</v>
      </c>
      <c r="P112" s="63">
        <f t="shared" si="3"/>
        <v>483</v>
      </c>
      <c r="Q112" s="50">
        <v>1</v>
      </c>
      <c r="R112" s="50">
        <v>1</v>
      </c>
      <c r="S112" s="69" t="s">
        <v>113</v>
      </c>
      <c r="T112" s="50"/>
      <c r="U112" s="52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</row>
    <row r="113" s="51" customFormat="1" spans="1:209">
      <c r="A113" s="50"/>
      <c r="B113" s="50"/>
      <c r="C113" s="50"/>
      <c r="D113" s="50"/>
      <c r="E113" s="50"/>
      <c r="F113" s="50"/>
      <c r="G113" s="50"/>
      <c r="H113" s="58" t="s">
        <v>253</v>
      </c>
      <c r="I113" s="58" t="s">
        <v>367</v>
      </c>
      <c r="J113" s="59">
        <v>33750</v>
      </c>
      <c r="K113" s="59">
        <v>231098</v>
      </c>
      <c r="L113" s="59">
        <v>1034621</v>
      </c>
      <c r="M113" s="59">
        <v>17053</v>
      </c>
      <c r="N113" s="59">
        <v>1316522</v>
      </c>
      <c r="O113" s="63">
        <v>1019663</v>
      </c>
      <c r="P113" s="63">
        <f t="shared" si="3"/>
        <v>-296859</v>
      </c>
      <c r="Q113" s="50"/>
      <c r="R113" s="50"/>
      <c r="S113" s="69" t="s">
        <v>253</v>
      </c>
      <c r="T113" s="50"/>
      <c r="U113" s="52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</row>
    <row r="114" s="51" customFormat="1" spans="1:209">
      <c r="A114" s="50"/>
      <c r="B114" s="50"/>
      <c r="C114" s="50"/>
      <c r="D114" s="50"/>
      <c r="E114" s="50"/>
      <c r="F114" s="50"/>
      <c r="G114" s="50"/>
      <c r="H114" s="58" t="s">
        <v>253</v>
      </c>
      <c r="I114" s="58" t="s">
        <v>368</v>
      </c>
      <c r="J114" s="59">
        <v>126452</v>
      </c>
      <c r="K114" s="59">
        <v>641382</v>
      </c>
      <c r="L114" s="59">
        <v>2594870</v>
      </c>
      <c r="M114" s="59">
        <v>36722</v>
      </c>
      <c r="N114" s="59">
        <v>3399426</v>
      </c>
      <c r="O114" s="63">
        <v>2802607</v>
      </c>
      <c r="P114" s="63">
        <f t="shared" si="3"/>
        <v>-596819</v>
      </c>
      <c r="Q114" s="50"/>
      <c r="R114" s="50"/>
      <c r="S114" s="69" t="s">
        <v>253</v>
      </c>
      <c r="T114" s="50"/>
      <c r="U114" s="52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</row>
    <row r="115" s="51" customFormat="1" spans="1:209">
      <c r="A115" s="50"/>
      <c r="B115" s="50"/>
      <c r="C115" s="50"/>
      <c r="D115" s="50"/>
      <c r="E115" s="50"/>
      <c r="F115" s="50"/>
      <c r="G115" s="50"/>
      <c r="H115" s="58" t="s">
        <v>253</v>
      </c>
      <c r="I115" s="58" t="s">
        <v>369</v>
      </c>
      <c r="J115" s="59">
        <v>89078</v>
      </c>
      <c r="K115" s="59">
        <v>495761</v>
      </c>
      <c r="L115" s="59">
        <v>2399554</v>
      </c>
      <c r="M115" s="59">
        <v>43809</v>
      </c>
      <c r="N115" s="59">
        <v>3028202</v>
      </c>
      <c r="O115" s="63">
        <v>2467701</v>
      </c>
      <c r="P115" s="63">
        <f t="shared" si="3"/>
        <v>-560501</v>
      </c>
      <c r="Q115" s="50"/>
      <c r="R115" s="50"/>
      <c r="S115" s="69" t="s">
        <v>253</v>
      </c>
      <c r="T115" s="50"/>
      <c r="U115" s="52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</row>
    <row r="116" s="51" customFormat="1" spans="1:209">
      <c r="A116" s="50"/>
      <c r="B116" s="50"/>
      <c r="C116" s="50"/>
      <c r="D116" s="50"/>
      <c r="E116" s="50"/>
      <c r="F116" s="50"/>
      <c r="G116" s="50"/>
      <c r="H116" s="58" t="s">
        <v>253</v>
      </c>
      <c r="I116" s="58" t="s">
        <v>370</v>
      </c>
      <c r="J116" s="59">
        <v>26148</v>
      </c>
      <c r="K116" s="59">
        <v>148180</v>
      </c>
      <c r="L116" s="59">
        <v>602311</v>
      </c>
      <c r="M116" s="59">
        <v>13144</v>
      </c>
      <c r="N116" s="59">
        <v>789783</v>
      </c>
      <c r="O116" s="63">
        <v>594916</v>
      </c>
      <c r="P116" s="63">
        <f t="shared" si="3"/>
        <v>-194867</v>
      </c>
      <c r="Q116" s="50"/>
      <c r="R116" s="50"/>
      <c r="S116" s="69" t="s">
        <v>253</v>
      </c>
      <c r="T116" s="50"/>
      <c r="U116" s="52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</row>
    <row r="117" s="51" customFormat="1" spans="1:209">
      <c r="A117" s="50"/>
      <c r="B117" s="50"/>
      <c r="C117" s="50"/>
      <c r="D117" s="50"/>
      <c r="E117" s="50"/>
      <c r="F117" s="50"/>
      <c r="G117" s="50"/>
      <c r="H117" s="58" t="s">
        <v>253</v>
      </c>
      <c r="I117" s="58" t="s">
        <v>371</v>
      </c>
      <c r="J117" s="59">
        <v>9466</v>
      </c>
      <c r="K117" s="59">
        <v>62619</v>
      </c>
      <c r="L117" s="59">
        <v>342658</v>
      </c>
      <c r="M117" s="59">
        <v>22279</v>
      </c>
      <c r="N117" s="59">
        <v>437022</v>
      </c>
      <c r="O117" s="63">
        <v>340897</v>
      </c>
      <c r="P117" s="63">
        <f t="shared" si="3"/>
        <v>-96125</v>
      </c>
      <c r="Q117" s="50"/>
      <c r="R117" s="50"/>
      <c r="S117" s="69" t="s">
        <v>253</v>
      </c>
      <c r="T117" s="50"/>
      <c r="U117" s="52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</row>
    <row r="118" s="51" customFormat="1" spans="1:209">
      <c r="A118" s="50"/>
      <c r="B118" s="50"/>
      <c r="C118" s="50"/>
      <c r="D118" s="50"/>
      <c r="E118" s="50"/>
      <c r="F118" s="50"/>
      <c r="G118" s="50"/>
      <c r="H118" s="58" t="s">
        <v>88</v>
      </c>
      <c r="I118" s="58" t="s">
        <v>372</v>
      </c>
      <c r="J118" s="59">
        <v>12636</v>
      </c>
      <c r="K118" s="59">
        <v>67373</v>
      </c>
      <c r="L118" s="59">
        <v>379849</v>
      </c>
      <c r="M118" s="59">
        <v>5489</v>
      </c>
      <c r="N118" s="59">
        <v>465347</v>
      </c>
      <c r="O118" s="63">
        <v>390325</v>
      </c>
      <c r="P118" s="63">
        <f t="shared" si="3"/>
        <v>-75022</v>
      </c>
      <c r="Q118" s="50"/>
      <c r="R118" s="50">
        <v>1</v>
      </c>
      <c r="S118" s="69" t="s">
        <v>88</v>
      </c>
      <c r="T118" s="50"/>
      <c r="U118" s="52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</row>
    <row r="119" s="51" customFormat="1" spans="1:209">
      <c r="A119" s="50"/>
      <c r="B119" s="50"/>
      <c r="C119" s="50"/>
      <c r="D119" s="50"/>
      <c r="E119" s="50"/>
      <c r="F119" s="50"/>
      <c r="G119" s="50"/>
      <c r="H119" s="58" t="s">
        <v>88</v>
      </c>
      <c r="I119" s="58" t="s">
        <v>373</v>
      </c>
      <c r="J119" s="59">
        <v>11417</v>
      </c>
      <c r="K119" s="59">
        <v>61151</v>
      </c>
      <c r="L119" s="59">
        <v>255262</v>
      </c>
      <c r="M119" s="59">
        <v>9096</v>
      </c>
      <c r="N119" s="59">
        <v>336926</v>
      </c>
      <c r="O119" s="63">
        <v>139677</v>
      </c>
      <c r="P119" s="63">
        <f t="shared" si="3"/>
        <v>-197249</v>
      </c>
      <c r="Q119" s="50"/>
      <c r="R119" s="50">
        <v>1</v>
      </c>
      <c r="S119" s="69" t="s">
        <v>88</v>
      </c>
      <c r="T119" s="50"/>
      <c r="U119" s="52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</row>
    <row r="120" s="51" customFormat="1" spans="1:209">
      <c r="A120" s="50"/>
      <c r="B120" s="50"/>
      <c r="C120" s="50"/>
      <c r="D120" s="50"/>
      <c r="E120" s="50"/>
      <c r="F120" s="50"/>
      <c r="G120" s="50"/>
      <c r="H120" s="58" t="s">
        <v>88</v>
      </c>
      <c r="I120" s="58" t="s">
        <v>374</v>
      </c>
      <c r="J120" s="59">
        <v>13514</v>
      </c>
      <c r="K120" s="59">
        <v>82959</v>
      </c>
      <c r="L120" s="59">
        <v>420320</v>
      </c>
      <c r="M120" s="59">
        <v>2449</v>
      </c>
      <c r="N120" s="59">
        <v>519242</v>
      </c>
      <c r="O120" s="63">
        <v>492109</v>
      </c>
      <c r="P120" s="63">
        <f t="shared" si="3"/>
        <v>-27133</v>
      </c>
      <c r="Q120" s="50"/>
      <c r="R120" s="50">
        <v>1</v>
      </c>
      <c r="S120" s="69" t="s">
        <v>88</v>
      </c>
      <c r="T120" s="50"/>
      <c r="U120" s="52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</row>
    <row r="121" s="51" customFormat="1" spans="1:209">
      <c r="A121" s="50"/>
      <c r="B121" s="50"/>
      <c r="C121" s="50"/>
      <c r="D121" s="50"/>
      <c r="E121" s="50"/>
      <c r="F121" s="50"/>
      <c r="G121" s="50"/>
      <c r="H121" s="58" t="s">
        <v>88</v>
      </c>
      <c r="I121" s="58" t="s">
        <v>302</v>
      </c>
      <c r="J121" s="59">
        <v>5139</v>
      </c>
      <c r="K121" s="59">
        <v>26749</v>
      </c>
      <c r="L121" s="59">
        <v>173739</v>
      </c>
      <c r="M121" s="59">
        <v>9645</v>
      </c>
      <c r="N121" s="59">
        <v>215272</v>
      </c>
      <c r="O121" s="63">
        <v>258056</v>
      </c>
      <c r="P121" s="63">
        <f t="shared" si="3"/>
        <v>42784</v>
      </c>
      <c r="Q121" s="50">
        <v>1</v>
      </c>
      <c r="R121" s="50">
        <v>1</v>
      </c>
      <c r="S121" s="69" t="s">
        <v>88</v>
      </c>
      <c r="T121" s="50"/>
      <c r="U121" s="52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</row>
    <row r="122" s="51" customFormat="1" spans="1:209">
      <c r="A122" s="50"/>
      <c r="B122" s="50"/>
      <c r="C122" s="50"/>
      <c r="D122" s="50"/>
      <c r="E122" s="50"/>
      <c r="F122" s="50"/>
      <c r="G122" s="50"/>
      <c r="H122" s="58" t="s">
        <v>88</v>
      </c>
      <c r="I122" s="58" t="s">
        <v>304</v>
      </c>
      <c r="J122" s="59">
        <v>8206</v>
      </c>
      <c r="K122" s="59">
        <v>48844</v>
      </c>
      <c r="L122" s="59">
        <v>309274</v>
      </c>
      <c r="M122" s="59">
        <v>2229</v>
      </c>
      <c r="N122" s="59">
        <v>368553</v>
      </c>
      <c r="O122" s="63">
        <v>472739</v>
      </c>
      <c r="P122" s="63">
        <f t="shared" si="3"/>
        <v>104186</v>
      </c>
      <c r="Q122" s="50">
        <v>1</v>
      </c>
      <c r="R122" s="50">
        <v>1</v>
      </c>
      <c r="S122" s="69" t="s">
        <v>88</v>
      </c>
      <c r="T122" s="50"/>
      <c r="U122" s="52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</row>
    <row r="123" s="51" customFormat="1" spans="1:209">
      <c r="A123" s="50"/>
      <c r="B123" s="50"/>
      <c r="C123" s="50"/>
      <c r="D123" s="50"/>
      <c r="E123" s="50"/>
      <c r="F123" s="50"/>
      <c r="G123" s="50"/>
      <c r="H123" s="58" t="s">
        <v>88</v>
      </c>
      <c r="I123" s="58" t="s">
        <v>306</v>
      </c>
      <c r="J123" s="59">
        <v>5753</v>
      </c>
      <c r="K123" s="59">
        <v>22026</v>
      </c>
      <c r="L123" s="59">
        <v>155314</v>
      </c>
      <c r="M123" s="59">
        <v>824</v>
      </c>
      <c r="N123" s="59">
        <v>183917</v>
      </c>
      <c r="O123" s="63">
        <v>228974</v>
      </c>
      <c r="P123" s="63">
        <f t="shared" si="3"/>
        <v>45057</v>
      </c>
      <c r="Q123" s="50">
        <v>1</v>
      </c>
      <c r="R123" s="50">
        <v>1</v>
      </c>
      <c r="S123" s="69" t="s">
        <v>88</v>
      </c>
      <c r="T123" s="50"/>
      <c r="U123" s="52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</row>
    <row r="124" s="51" customFormat="1" spans="1:209">
      <c r="A124" s="50"/>
      <c r="B124" s="50"/>
      <c r="C124" s="50"/>
      <c r="D124" s="50"/>
      <c r="E124" s="50"/>
      <c r="F124" s="50"/>
      <c r="G124" s="50"/>
      <c r="H124" s="58" t="s">
        <v>88</v>
      </c>
      <c r="I124" s="58" t="s">
        <v>307</v>
      </c>
      <c r="J124" s="59">
        <v>3899</v>
      </c>
      <c r="K124" s="59">
        <v>20884</v>
      </c>
      <c r="L124" s="59">
        <v>152008</v>
      </c>
      <c r="M124" s="59">
        <v>239</v>
      </c>
      <c r="N124" s="59">
        <v>177030</v>
      </c>
      <c r="O124" s="63">
        <v>207985</v>
      </c>
      <c r="P124" s="63">
        <f t="shared" si="3"/>
        <v>30955</v>
      </c>
      <c r="Q124" s="50">
        <v>1</v>
      </c>
      <c r="R124" s="50">
        <v>1</v>
      </c>
      <c r="S124" s="69" t="s">
        <v>88</v>
      </c>
      <c r="T124" s="50"/>
      <c r="U124" s="52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</row>
    <row r="125" s="51" customFormat="1" spans="1:209">
      <c r="A125" s="50"/>
      <c r="B125" s="50"/>
      <c r="C125" s="50"/>
      <c r="D125" s="50"/>
      <c r="E125" s="50"/>
      <c r="F125" s="50"/>
      <c r="G125" s="50"/>
      <c r="H125" s="58" t="s">
        <v>88</v>
      </c>
      <c r="I125" s="58" t="s">
        <v>309</v>
      </c>
      <c r="J125" s="59">
        <v>15601</v>
      </c>
      <c r="K125" s="59">
        <v>78839</v>
      </c>
      <c r="L125" s="59">
        <v>319812</v>
      </c>
      <c r="M125" s="59">
        <v>617</v>
      </c>
      <c r="N125" s="59">
        <v>414869</v>
      </c>
      <c r="O125" s="63">
        <v>451885</v>
      </c>
      <c r="P125" s="63">
        <f t="shared" si="3"/>
        <v>37016</v>
      </c>
      <c r="Q125" s="50">
        <v>1</v>
      </c>
      <c r="R125" s="50">
        <v>1</v>
      </c>
      <c r="S125" s="69" t="s">
        <v>88</v>
      </c>
      <c r="T125" s="50"/>
      <c r="U125" s="52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</row>
    <row r="126" s="51" customFormat="1" spans="1:209">
      <c r="A126" s="50"/>
      <c r="B126" s="50"/>
      <c r="C126" s="50"/>
      <c r="D126" s="50"/>
      <c r="E126" s="50"/>
      <c r="F126" s="50"/>
      <c r="G126" s="50"/>
      <c r="H126" s="58" t="s">
        <v>132</v>
      </c>
      <c r="I126" s="58" t="s">
        <v>375</v>
      </c>
      <c r="J126" s="59">
        <v>15256</v>
      </c>
      <c r="K126" s="59">
        <v>87623</v>
      </c>
      <c r="L126" s="59">
        <v>351877</v>
      </c>
      <c r="M126" s="59">
        <v>14091</v>
      </c>
      <c r="N126" s="59">
        <v>468847</v>
      </c>
      <c r="O126" s="63">
        <v>401060</v>
      </c>
      <c r="P126" s="63">
        <f t="shared" si="3"/>
        <v>-67787</v>
      </c>
      <c r="Q126" s="50"/>
      <c r="R126" s="50">
        <v>1</v>
      </c>
      <c r="S126" s="69" t="s">
        <v>132</v>
      </c>
      <c r="T126" s="50"/>
      <c r="U126" s="52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</row>
    <row r="127" s="51" customFormat="1" spans="1:209">
      <c r="A127" s="50"/>
      <c r="B127" s="50"/>
      <c r="C127" s="50"/>
      <c r="D127" s="50"/>
      <c r="E127" s="50"/>
      <c r="F127" s="50"/>
      <c r="G127" s="50"/>
      <c r="H127" s="58" t="s">
        <v>132</v>
      </c>
      <c r="I127" s="58" t="s">
        <v>376</v>
      </c>
      <c r="J127" s="59">
        <v>24811</v>
      </c>
      <c r="K127" s="59">
        <v>124096</v>
      </c>
      <c r="L127" s="59">
        <v>587301</v>
      </c>
      <c r="M127" s="59">
        <v>18879</v>
      </c>
      <c r="N127" s="67">
        <v>755087</v>
      </c>
      <c r="O127" s="66">
        <v>815538</v>
      </c>
      <c r="P127" s="66">
        <f t="shared" si="3"/>
        <v>60451</v>
      </c>
      <c r="Q127" s="50"/>
      <c r="R127" s="50">
        <v>1</v>
      </c>
      <c r="S127" s="69" t="s">
        <v>132</v>
      </c>
      <c r="T127" s="50"/>
      <c r="U127" s="52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</row>
    <row r="128" s="51" customFormat="1" spans="1:209">
      <c r="A128" s="50"/>
      <c r="B128" s="50"/>
      <c r="C128" s="50"/>
      <c r="D128" s="50"/>
      <c r="E128" s="50"/>
      <c r="F128" s="50"/>
      <c r="G128" s="50"/>
      <c r="H128" s="58" t="s">
        <v>132</v>
      </c>
      <c r="I128" s="58" t="s">
        <v>377</v>
      </c>
      <c r="J128" s="59">
        <v>4450</v>
      </c>
      <c r="K128" s="59">
        <v>21790</v>
      </c>
      <c r="L128" s="59">
        <v>88924</v>
      </c>
      <c r="M128" s="59">
        <v>956</v>
      </c>
      <c r="N128" s="59">
        <v>116120</v>
      </c>
      <c r="O128" s="63" t="e">
        <v>#N/A</v>
      </c>
      <c r="P128" s="63" t="e">
        <f t="shared" si="3"/>
        <v>#N/A</v>
      </c>
      <c r="Q128" s="50"/>
      <c r="R128" s="50">
        <v>1</v>
      </c>
      <c r="S128" s="69" t="s">
        <v>132</v>
      </c>
      <c r="T128" s="50"/>
      <c r="U128" s="52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</row>
    <row r="129" s="51" customFormat="1" spans="1:209">
      <c r="A129" s="50"/>
      <c r="B129" s="50"/>
      <c r="C129" s="50"/>
      <c r="D129" s="50"/>
      <c r="E129" s="50"/>
      <c r="F129" s="50"/>
      <c r="G129" s="50"/>
      <c r="H129" s="58" t="s">
        <v>132</v>
      </c>
      <c r="I129" s="58" t="s">
        <v>352</v>
      </c>
      <c r="J129" s="59">
        <v>10817</v>
      </c>
      <c r="K129" s="59">
        <v>40708</v>
      </c>
      <c r="L129" s="59">
        <v>371617</v>
      </c>
      <c r="M129" s="59">
        <v>44117</v>
      </c>
      <c r="N129" s="59">
        <v>467259</v>
      </c>
      <c r="O129" s="63">
        <v>535082</v>
      </c>
      <c r="P129" s="63">
        <f t="shared" si="3"/>
        <v>67823</v>
      </c>
      <c r="Q129" s="50">
        <v>1</v>
      </c>
      <c r="R129" s="50">
        <v>1</v>
      </c>
      <c r="S129" s="69" t="s">
        <v>132</v>
      </c>
      <c r="T129" s="50"/>
      <c r="U129" s="52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</row>
    <row r="130" s="51" customFormat="1" spans="1:209">
      <c r="A130" s="50"/>
      <c r="B130" s="50"/>
      <c r="C130" s="50"/>
      <c r="D130" s="50"/>
      <c r="E130" s="50"/>
      <c r="F130" s="50"/>
      <c r="G130" s="50"/>
      <c r="H130" s="58" t="s">
        <v>272</v>
      </c>
      <c r="I130" s="58" t="s">
        <v>378</v>
      </c>
      <c r="J130" s="59">
        <v>7771</v>
      </c>
      <c r="K130" s="59">
        <v>54079</v>
      </c>
      <c r="L130" s="59">
        <v>177728</v>
      </c>
      <c r="M130" s="59">
        <v>4435</v>
      </c>
      <c r="N130" s="59">
        <v>244013</v>
      </c>
      <c r="O130" s="63"/>
      <c r="P130" s="63">
        <f t="shared" si="3"/>
        <v>-244013</v>
      </c>
      <c r="Q130" s="50"/>
      <c r="R130" s="50"/>
      <c r="S130" s="69" t="s">
        <v>272</v>
      </c>
      <c r="T130" s="50"/>
      <c r="U130" s="52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  <c r="DT130" s="50"/>
      <c r="DU130" s="50"/>
      <c r="DV130" s="50"/>
      <c r="DW130" s="50"/>
      <c r="DX130" s="50"/>
      <c r="DY130" s="50"/>
      <c r="DZ130" s="50"/>
      <c r="EA130" s="50"/>
      <c r="EB130" s="50"/>
      <c r="EC130" s="50"/>
      <c r="ED130" s="50"/>
      <c r="EE130" s="50"/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</row>
    <row r="131" s="51" customFormat="1" spans="1:209">
      <c r="A131" s="50"/>
      <c r="B131" s="50"/>
      <c r="C131" s="50"/>
      <c r="D131" s="50"/>
      <c r="E131" s="50"/>
      <c r="F131" s="50"/>
      <c r="G131" s="50"/>
      <c r="H131" s="58" t="s">
        <v>272</v>
      </c>
      <c r="I131" s="58" t="s">
        <v>379</v>
      </c>
      <c r="J131" s="59">
        <v>3711</v>
      </c>
      <c r="K131" s="59">
        <v>25509</v>
      </c>
      <c r="L131" s="59">
        <v>190016</v>
      </c>
      <c r="M131" s="59">
        <v>5602</v>
      </c>
      <c r="N131" s="59">
        <v>224838</v>
      </c>
      <c r="O131" s="63"/>
      <c r="P131" s="63">
        <f t="shared" si="3"/>
        <v>-224838</v>
      </c>
      <c r="Q131" s="50"/>
      <c r="R131" s="50"/>
      <c r="S131" s="69" t="s">
        <v>272</v>
      </c>
      <c r="T131" s="50"/>
      <c r="U131" s="52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</row>
    <row r="132" s="51" customFormat="1" spans="1:209">
      <c r="A132" s="50"/>
      <c r="B132" s="50"/>
      <c r="C132" s="50"/>
      <c r="D132" s="50"/>
      <c r="E132" s="50"/>
      <c r="F132" s="50"/>
      <c r="G132" s="50"/>
      <c r="H132" s="58" t="s">
        <v>272</v>
      </c>
      <c r="I132" s="58" t="s">
        <v>380</v>
      </c>
      <c r="J132" s="59">
        <v>4360</v>
      </c>
      <c r="K132" s="59">
        <v>16740</v>
      </c>
      <c r="L132" s="59">
        <v>116413</v>
      </c>
      <c r="M132" s="59">
        <v>5937</v>
      </c>
      <c r="N132" s="59">
        <v>143450</v>
      </c>
      <c r="O132" s="63"/>
      <c r="P132" s="63">
        <f t="shared" ref="P132:P163" si="4">O132-N132</f>
        <v>-143450</v>
      </c>
      <c r="Q132" s="50"/>
      <c r="R132" s="50"/>
      <c r="S132" s="69" t="s">
        <v>272</v>
      </c>
      <c r="T132" s="50"/>
      <c r="U132" s="52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</row>
    <row r="133" s="51" customFormat="1" spans="1:209">
      <c r="A133" s="50"/>
      <c r="B133" s="50"/>
      <c r="C133" s="50"/>
      <c r="D133" s="50"/>
      <c r="E133" s="50"/>
      <c r="F133" s="50"/>
      <c r="G133" s="50"/>
      <c r="H133" s="58" t="s">
        <v>272</v>
      </c>
      <c r="I133" s="58" t="s">
        <v>381</v>
      </c>
      <c r="J133" s="59">
        <v>2110</v>
      </c>
      <c r="K133" s="59">
        <v>11471</v>
      </c>
      <c r="L133" s="59">
        <v>73379</v>
      </c>
      <c r="M133" s="59">
        <v>1310</v>
      </c>
      <c r="N133" s="59">
        <v>88270</v>
      </c>
      <c r="O133" s="63"/>
      <c r="P133" s="63">
        <f t="shared" si="4"/>
        <v>-88270</v>
      </c>
      <c r="Q133" s="50"/>
      <c r="R133" s="50"/>
      <c r="S133" s="69" t="s">
        <v>272</v>
      </c>
      <c r="T133" s="50"/>
      <c r="U133" s="52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</row>
    <row r="134" s="51" customFormat="1" spans="1:209">
      <c r="A134" s="50"/>
      <c r="B134" s="50"/>
      <c r="C134" s="50"/>
      <c r="D134" s="50"/>
      <c r="E134" s="50"/>
      <c r="F134" s="50"/>
      <c r="G134" s="50"/>
      <c r="H134" s="58" t="s">
        <v>272</v>
      </c>
      <c r="I134" s="58" t="s">
        <v>382</v>
      </c>
      <c r="J134" s="59">
        <v>8578</v>
      </c>
      <c r="K134" s="59">
        <v>32879</v>
      </c>
      <c r="L134" s="59">
        <v>246198</v>
      </c>
      <c r="M134" s="59">
        <v>3048</v>
      </c>
      <c r="N134" s="59">
        <v>290703</v>
      </c>
      <c r="O134" s="63"/>
      <c r="P134" s="63">
        <f t="shared" si="4"/>
        <v>-290703</v>
      </c>
      <c r="Q134" s="50"/>
      <c r="R134" s="50"/>
      <c r="S134" s="69" t="s">
        <v>272</v>
      </c>
      <c r="T134" s="50"/>
      <c r="U134" s="52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</row>
    <row r="135" s="51" customFormat="1" spans="1:209">
      <c r="A135" s="50"/>
      <c r="B135" s="50"/>
      <c r="C135" s="50"/>
      <c r="D135" s="50"/>
      <c r="E135" s="50"/>
      <c r="F135" s="50"/>
      <c r="G135" s="50"/>
      <c r="H135" s="58" t="s">
        <v>272</v>
      </c>
      <c r="I135" s="58" t="s">
        <v>383</v>
      </c>
      <c r="J135" s="59">
        <v>5272</v>
      </c>
      <c r="K135" s="59">
        <v>26105</v>
      </c>
      <c r="L135" s="59">
        <v>129548</v>
      </c>
      <c r="M135" s="59">
        <v>4266</v>
      </c>
      <c r="N135" s="59">
        <v>165191</v>
      </c>
      <c r="O135" s="63"/>
      <c r="P135" s="63">
        <f t="shared" si="4"/>
        <v>-165191</v>
      </c>
      <c r="Q135" s="50"/>
      <c r="R135" s="50"/>
      <c r="S135" s="69" t="s">
        <v>272</v>
      </c>
      <c r="T135" s="50"/>
      <c r="U135" s="52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50"/>
      <c r="DX135" s="50"/>
      <c r="DY135" s="50"/>
      <c r="DZ135" s="50"/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</row>
    <row r="136" s="51" customFormat="1" spans="1:209">
      <c r="A136" s="50"/>
      <c r="B136" s="50"/>
      <c r="C136" s="50"/>
      <c r="D136" s="50"/>
      <c r="E136" s="50"/>
      <c r="F136" s="50"/>
      <c r="G136" s="50"/>
      <c r="H136" s="58" t="s">
        <v>272</v>
      </c>
      <c r="I136" s="58" t="s">
        <v>384</v>
      </c>
      <c r="J136" s="59">
        <v>2292</v>
      </c>
      <c r="K136" s="59">
        <v>7388</v>
      </c>
      <c r="L136" s="59">
        <v>56797</v>
      </c>
      <c r="M136" s="59">
        <v>2466</v>
      </c>
      <c r="N136" s="59">
        <v>68943</v>
      </c>
      <c r="O136" s="63"/>
      <c r="P136" s="63">
        <f t="shared" si="4"/>
        <v>-68943</v>
      </c>
      <c r="Q136" s="50"/>
      <c r="R136" s="50"/>
      <c r="S136" s="69" t="s">
        <v>272</v>
      </c>
      <c r="T136" s="50"/>
      <c r="U136" s="52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</row>
    <row r="137" s="51" customFormat="1" spans="1:209">
      <c r="A137" s="50"/>
      <c r="B137" s="50"/>
      <c r="C137" s="50"/>
      <c r="D137" s="50"/>
      <c r="E137" s="50"/>
      <c r="F137" s="50"/>
      <c r="G137" s="50"/>
      <c r="H137" s="58" t="s">
        <v>272</v>
      </c>
      <c r="I137" s="58" t="s">
        <v>385</v>
      </c>
      <c r="J137" s="59">
        <v>4366</v>
      </c>
      <c r="K137" s="59">
        <v>21995</v>
      </c>
      <c r="L137" s="59">
        <v>139372</v>
      </c>
      <c r="M137" s="59">
        <v>631</v>
      </c>
      <c r="N137" s="59">
        <v>166364</v>
      </c>
      <c r="O137" s="63"/>
      <c r="P137" s="63">
        <f t="shared" si="4"/>
        <v>-166364</v>
      </c>
      <c r="Q137" s="50"/>
      <c r="R137" s="50"/>
      <c r="S137" s="69" t="s">
        <v>272</v>
      </c>
      <c r="T137" s="50"/>
      <c r="U137" s="52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</row>
    <row r="138" s="51" customFormat="1" spans="1:209">
      <c r="A138" s="50"/>
      <c r="B138" s="50"/>
      <c r="C138" s="50"/>
      <c r="D138" s="50"/>
      <c r="E138" s="50"/>
      <c r="F138" s="50"/>
      <c r="G138" s="50"/>
      <c r="H138" s="58" t="s">
        <v>272</v>
      </c>
      <c r="I138" s="58" t="s">
        <v>386</v>
      </c>
      <c r="J138" s="59">
        <v>8705</v>
      </c>
      <c r="K138" s="59">
        <v>43426</v>
      </c>
      <c r="L138" s="59">
        <v>185522</v>
      </c>
      <c r="M138" s="59">
        <v>1162</v>
      </c>
      <c r="N138" s="59">
        <v>238815</v>
      </c>
      <c r="O138" s="63"/>
      <c r="P138" s="63">
        <f t="shared" si="4"/>
        <v>-238815</v>
      </c>
      <c r="Q138" s="50"/>
      <c r="R138" s="50"/>
      <c r="S138" s="69" t="s">
        <v>272</v>
      </c>
      <c r="T138" s="50"/>
      <c r="U138" s="52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</row>
    <row r="139" s="51" customFormat="1" spans="1:209">
      <c r="A139" s="50"/>
      <c r="B139" s="50"/>
      <c r="C139" s="50"/>
      <c r="D139" s="50"/>
      <c r="E139" s="50"/>
      <c r="F139" s="50"/>
      <c r="G139" s="50"/>
      <c r="H139" s="58" t="s">
        <v>272</v>
      </c>
      <c r="I139" s="58" t="s">
        <v>387</v>
      </c>
      <c r="J139" s="59">
        <v>16982</v>
      </c>
      <c r="K139" s="59">
        <v>57259</v>
      </c>
      <c r="L139" s="59">
        <v>407629</v>
      </c>
      <c r="M139" s="59">
        <v>4795</v>
      </c>
      <c r="N139" s="59">
        <v>486665</v>
      </c>
      <c r="O139" s="63"/>
      <c r="P139" s="63">
        <f t="shared" si="4"/>
        <v>-486665</v>
      </c>
      <c r="Q139" s="50"/>
      <c r="R139" s="50"/>
      <c r="S139" s="69" t="s">
        <v>272</v>
      </c>
      <c r="T139" s="50"/>
      <c r="U139" s="52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</row>
    <row r="140" s="51" customFormat="1" spans="1:209">
      <c r="A140" s="50"/>
      <c r="B140" s="50"/>
      <c r="C140" s="50"/>
      <c r="D140" s="50"/>
      <c r="E140" s="50"/>
      <c r="F140" s="50"/>
      <c r="G140" s="50"/>
      <c r="H140" s="58" t="s">
        <v>272</v>
      </c>
      <c r="I140" s="58" t="s">
        <v>388</v>
      </c>
      <c r="J140" s="59">
        <v>11097</v>
      </c>
      <c r="K140" s="59">
        <v>43151</v>
      </c>
      <c r="L140" s="59">
        <v>240508</v>
      </c>
      <c r="M140" s="59">
        <v>1126</v>
      </c>
      <c r="N140" s="59">
        <v>295882</v>
      </c>
      <c r="O140" s="63"/>
      <c r="P140" s="63">
        <f t="shared" si="4"/>
        <v>-295882</v>
      </c>
      <c r="Q140" s="50"/>
      <c r="R140" s="50"/>
      <c r="S140" s="69" t="s">
        <v>272</v>
      </c>
      <c r="T140" s="50"/>
      <c r="U140" s="52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</row>
    <row r="141" s="51" customFormat="1" spans="1:209">
      <c r="A141" s="50"/>
      <c r="B141" s="50"/>
      <c r="C141" s="50"/>
      <c r="D141" s="50"/>
      <c r="E141" s="50"/>
      <c r="F141" s="50"/>
      <c r="G141" s="50"/>
      <c r="H141" s="58" t="s">
        <v>272</v>
      </c>
      <c r="I141" s="58" t="s">
        <v>389</v>
      </c>
      <c r="J141" s="59">
        <v>7410</v>
      </c>
      <c r="K141" s="59">
        <v>27092</v>
      </c>
      <c r="L141" s="59">
        <v>177754</v>
      </c>
      <c r="M141" s="59">
        <v>1660</v>
      </c>
      <c r="N141" s="59">
        <v>213916</v>
      </c>
      <c r="O141" s="63"/>
      <c r="P141" s="63">
        <f t="shared" si="4"/>
        <v>-213916</v>
      </c>
      <c r="Q141" s="50"/>
      <c r="R141" s="50"/>
      <c r="S141" s="69" t="s">
        <v>272</v>
      </c>
      <c r="T141" s="50"/>
      <c r="U141" s="52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</row>
    <row r="142" s="51" customFormat="1" spans="1:209">
      <c r="A142" s="50"/>
      <c r="B142" s="50"/>
      <c r="C142" s="50"/>
      <c r="D142" s="50"/>
      <c r="E142" s="50"/>
      <c r="F142" s="50"/>
      <c r="G142" s="50"/>
      <c r="H142" s="58" t="s">
        <v>272</v>
      </c>
      <c r="I142" s="58" t="s">
        <v>390</v>
      </c>
      <c r="J142" s="59">
        <v>7255</v>
      </c>
      <c r="K142" s="59">
        <v>27134</v>
      </c>
      <c r="L142" s="59">
        <v>195570</v>
      </c>
      <c r="M142" s="59">
        <v>1278</v>
      </c>
      <c r="N142" s="59">
        <v>231237</v>
      </c>
      <c r="O142" s="63"/>
      <c r="P142" s="63">
        <f t="shared" si="4"/>
        <v>-231237</v>
      </c>
      <c r="Q142" s="50"/>
      <c r="R142" s="50"/>
      <c r="S142" s="69" t="s">
        <v>272</v>
      </c>
      <c r="T142" s="50"/>
      <c r="U142" s="52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</row>
    <row r="143" s="51" customFormat="1" spans="1:209">
      <c r="A143" s="50"/>
      <c r="B143" s="50"/>
      <c r="C143" s="50"/>
      <c r="D143" s="50"/>
      <c r="E143" s="50"/>
      <c r="F143" s="50"/>
      <c r="G143" s="50"/>
      <c r="H143" s="58" t="s">
        <v>272</v>
      </c>
      <c r="I143" s="58" t="s">
        <v>391</v>
      </c>
      <c r="J143" s="59">
        <v>4093</v>
      </c>
      <c r="K143" s="59">
        <v>21617</v>
      </c>
      <c r="L143" s="59">
        <v>99970</v>
      </c>
      <c r="M143" s="59">
        <v>260</v>
      </c>
      <c r="N143" s="59">
        <v>125940</v>
      </c>
      <c r="O143" s="63"/>
      <c r="P143" s="63">
        <f t="shared" si="4"/>
        <v>-125940</v>
      </c>
      <c r="Q143" s="50"/>
      <c r="R143" s="50"/>
      <c r="S143" s="69" t="s">
        <v>272</v>
      </c>
      <c r="T143" s="50"/>
      <c r="U143" s="52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</row>
    <row r="144" s="51" customFormat="1" spans="1:209">
      <c r="A144" s="50"/>
      <c r="B144" s="50"/>
      <c r="C144" s="50"/>
      <c r="D144" s="50"/>
      <c r="E144" s="50"/>
      <c r="F144" s="50"/>
      <c r="G144" s="50"/>
      <c r="H144" s="58" t="s">
        <v>272</v>
      </c>
      <c r="I144" s="58" t="s">
        <v>392</v>
      </c>
      <c r="J144" s="59">
        <v>9919</v>
      </c>
      <c r="K144" s="59">
        <v>39693</v>
      </c>
      <c r="L144" s="59">
        <v>180751</v>
      </c>
      <c r="M144" s="59">
        <v>1208</v>
      </c>
      <c r="N144" s="59">
        <v>231571</v>
      </c>
      <c r="O144" s="63"/>
      <c r="P144" s="63">
        <f t="shared" si="4"/>
        <v>-231571</v>
      </c>
      <c r="Q144" s="50"/>
      <c r="R144" s="50"/>
      <c r="S144" s="69" t="s">
        <v>272</v>
      </c>
      <c r="T144" s="50"/>
      <c r="U144" s="52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</row>
    <row r="145" s="51" customFormat="1" spans="1:209">
      <c r="A145" s="50"/>
      <c r="B145" s="50"/>
      <c r="C145" s="50"/>
      <c r="D145" s="50"/>
      <c r="E145" s="50"/>
      <c r="F145" s="50"/>
      <c r="G145" s="50"/>
      <c r="H145" s="58" t="s">
        <v>272</v>
      </c>
      <c r="I145" s="58" t="s">
        <v>393</v>
      </c>
      <c r="J145" s="59">
        <v>4727</v>
      </c>
      <c r="K145" s="59">
        <v>19652</v>
      </c>
      <c r="L145" s="59">
        <v>103632</v>
      </c>
      <c r="M145" s="59">
        <v>1089</v>
      </c>
      <c r="N145" s="59">
        <v>129100</v>
      </c>
      <c r="O145" s="63"/>
      <c r="P145" s="63">
        <f t="shared" si="4"/>
        <v>-129100</v>
      </c>
      <c r="Q145" s="50"/>
      <c r="R145" s="50"/>
      <c r="S145" s="69" t="s">
        <v>272</v>
      </c>
      <c r="T145" s="50"/>
      <c r="U145" s="52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</row>
    <row r="146" s="51" customFormat="1" spans="1:209">
      <c r="A146" s="50"/>
      <c r="B146" s="50"/>
      <c r="C146" s="50"/>
      <c r="D146" s="50"/>
      <c r="E146" s="50"/>
      <c r="F146" s="50"/>
      <c r="G146" s="50"/>
      <c r="H146" s="58" t="s">
        <v>272</v>
      </c>
      <c r="I146" s="58" t="s">
        <v>394</v>
      </c>
      <c r="J146" s="59">
        <v>2526</v>
      </c>
      <c r="K146" s="59">
        <v>9363</v>
      </c>
      <c r="L146" s="59">
        <v>83433</v>
      </c>
      <c r="M146" s="59">
        <v>906</v>
      </c>
      <c r="N146" s="59">
        <v>96228</v>
      </c>
      <c r="O146" s="63"/>
      <c r="P146" s="63">
        <f t="shared" si="4"/>
        <v>-96228</v>
      </c>
      <c r="Q146" s="50"/>
      <c r="R146" s="50"/>
      <c r="S146" s="69" t="s">
        <v>272</v>
      </c>
      <c r="T146" s="50"/>
      <c r="U146" s="52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</row>
    <row r="147" s="51" customFormat="1" spans="1:209">
      <c r="A147" s="50"/>
      <c r="B147" s="50"/>
      <c r="C147" s="50"/>
      <c r="D147" s="50"/>
      <c r="E147" s="50"/>
      <c r="F147" s="50"/>
      <c r="G147" s="50"/>
      <c r="H147" s="58" t="s">
        <v>272</v>
      </c>
      <c r="I147" s="58" t="s">
        <v>395</v>
      </c>
      <c r="J147" s="59">
        <v>1323</v>
      </c>
      <c r="K147" s="59">
        <v>7512</v>
      </c>
      <c r="L147" s="59">
        <v>42628</v>
      </c>
      <c r="M147" s="59">
        <v>463</v>
      </c>
      <c r="N147" s="59">
        <v>51926</v>
      </c>
      <c r="O147" s="63"/>
      <c r="P147" s="63">
        <f t="shared" si="4"/>
        <v>-51926</v>
      </c>
      <c r="Q147" s="50"/>
      <c r="R147" s="50"/>
      <c r="S147" s="69" t="s">
        <v>272</v>
      </c>
      <c r="T147" s="50"/>
      <c r="U147" s="52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50"/>
      <c r="EE147" s="50"/>
      <c r="EF147" s="50"/>
      <c r="EG147" s="50"/>
      <c r="EH147" s="50"/>
      <c r="EI147" s="50"/>
      <c r="EJ147" s="5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</row>
    <row r="148" s="51" customFormat="1" spans="1:209">
      <c r="A148" s="50"/>
      <c r="B148" s="50"/>
      <c r="C148" s="50"/>
      <c r="D148" s="50"/>
      <c r="E148" s="50"/>
      <c r="F148" s="50"/>
      <c r="G148" s="50"/>
      <c r="H148" s="58" t="s">
        <v>272</v>
      </c>
      <c r="I148" s="58" t="s">
        <v>396</v>
      </c>
      <c r="J148" s="59">
        <v>5181</v>
      </c>
      <c r="K148" s="59">
        <v>20470</v>
      </c>
      <c r="L148" s="59">
        <v>194606</v>
      </c>
      <c r="M148" s="59">
        <v>4131</v>
      </c>
      <c r="N148" s="59">
        <v>224388</v>
      </c>
      <c r="O148" s="63"/>
      <c r="P148" s="63">
        <f t="shared" si="4"/>
        <v>-224388</v>
      </c>
      <c r="Q148" s="50"/>
      <c r="R148" s="50"/>
      <c r="S148" s="69" t="s">
        <v>272</v>
      </c>
      <c r="T148" s="50"/>
      <c r="U148" s="52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50"/>
      <c r="DZ148" s="50"/>
      <c r="EA148" s="50"/>
      <c r="EB148" s="50"/>
      <c r="EC148" s="50"/>
      <c r="ED148" s="50"/>
      <c r="EE148" s="50"/>
      <c r="EF148" s="50"/>
      <c r="EG148" s="50"/>
      <c r="EH148" s="50"/>
      <c r="EI148" s="50"/>
      <c r="EJ148" s="5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</row>
    <row r="149" s="51" customFormat="1" spans="1:209">
      <c r="A149" s="50"/>
      <c r="B149" s="50"/>
      <c r="C149" s="50"/>
      <c r="D149" s="50"/>
      <c r="E149" s="50"/>
      <c r="F149" s="50"/>
      <c r="G149" s="50"/>
      <c r="H149" s="58" t="s">
        <v>272</v>
      </c>
      <c r="I149" s="58" t="s">
        <v>397</v>
      </c>
      <c r="J149" s="59">
        <v>11599</v>
      </c>
      <c r="K149" s="59">
        <v>37330</v>
      </c>
      <c r="L149" s="59">
        <v>231996</v>
      </c>
      <c r="M149" s="59">
        <v>4173</v>
      </c>
      <c r="N149" s="59">
        <v>285098</v>
      </c>
      <c r="O149" s="63"/>
      <c r="P149" s="63">
        <f t="shared" si="4"/>
        <v>-285098</v>
      </c>
      <c r="Q149" s="50"/>
      <c r="R149" s="50"/>
      <c r="S149" s="69" t="s">
        <v>272</v>
      </c>
      <c r="T149" s="50"/>
      <c r="U149" s="52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J149" s="5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="51" customFormat="1" spans="1:209">
      <c r="A150" s="50"/>
      <c r="B150" s="50"/>
      <c r="C150" s="50"/>
      <c r="D150" s="50"/>
      <c r="E150" s="50"/>
      <c r="F150" s="50"/>
      <c r="G150" s="50"/>
      <c r="H150" s="58" t="s">
        <v>272</v>
      </c>
      <c r="I150" s="58" t="s">
        <v>398</v>
      </c>
      <c r="J150" s="59">
        <v>4629</v>
      </c>
      <c r="K150" s="59">
        <v>26172</v>
      </c>
      <c r="L150" s="59">
        <v>113047</v>
      </c>
      <c r="M150" s="59">
        <v>1423</v>
      </c>
      <c r="N150" s="59">
        <v>145271</v>
      </c>
      <c r="O150" s="63"/>
      <c r="P150" s="63">
        <f t="shared" si="4"/>
        <v>-145271</v>
      </c>
      <c r="Q150" s="50"/>
      <c r="R150" s="50"/>
      <c r="S150" s="69" t="s">
        <v>272</v>
      </c>
      <c r="T150" s="50"/>
      <c r="U150" s="52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</row>
    <row r="151" s="51" customFormat="1" spans="1:209">
      <c r="A151" s="50"/>
      <c r="B151" s="50"/>
      <c r="C151" s="50"/>
      <c r="D151" s="50"/>
      <c r="E151" s="50"/>
      <c r="F151" s="50"/>
      <c r="G151" s="50"/>
      <c r="H151" s="58" t="s">
        <v>272</v>
      </c>
      <c r="I151" s="58" t="s">
        <v>399</v>
      </c>
      <c r="J151" s="59">
        <v>2953</v>
      </c>
      <c r="K151" s="59">
        <v>7787</v>
      </c>
      <c r="L151" s="59">
        <v>85313</v>
      </c>
      <c r="M151" s="59">
        <v>981</v>
      </c>
      <c r="N151" s="59">
        <v>97034</v>
      </c>
      <c r="O151" s="63"/>
      <c r="P151" s="63">
        <f t="shared" si="4"/>
        <v>-97034</v>
      </c>
      <c r="Q151" s="50"/>
      <c r="R151" s="50"/>
      <c r="S151" s="69" t="s">
        <v>272</v>
      </c>
      <c r="T151" s="50"/>
      <c r="U151" s="52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</row>
    <row r="152" s="51" customFormat="1" spans="1:209">
      <c r="A152" s="50"/>
      <c r="B152" s="50"/>
      <c r="C152" s="50"/>
      <c r="D152" s="50"/>
      <c r="E152" s="50"/>
      <c r="F152" s="50"/>
      <c r="G152" s="50"/>
      <c r="H152" s="58" t="s">
        <v>272</v>
      </c>
      <c r="I152" s="58" t="s">
        <v>400</v>
      </c>
      <c r="J152" s="59">
        <v>3278</v>
      </c>
      <c r="K152" s="59">
        <v>19328</v>
      </c>
      <c r="L152" s="59">
        <v>108641</v>
      </c>
      <c r="M152" s="59">
        <v>792</v>
      </c>
      <c r="N152" s="59">
        <v>132039</v>
      </c>
      <c r="O152" s="63"/>
      <c r="P152" s="63">
        <f t="shared" si="4"/>
        <v>-132039</v>
      </c>
      <c r="Q152" s="50"/>
      <c r="R152" s="50"/>
      <c r="S152" s="69" t="s">
        <v>272</v>
      </c>
      <c r="T152" s="50"/>
      <c r="U152" s="52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</row>
    <row r="153" s="51" customFormat="1" spans="1:209">
      <c r="A153" s="50"/>
      <c r="B153" s="50"/>
      <c r="C153" s="50"/>
      <c r="D153" s="50"/>
      <c r="E153" s="50"/>
      <c r="F153" s="50"/>
      <c r="G153" s="50"/>
      <c r="H153" s="58" t="s">
        <v>272</v>
      </c>
      <c r="I153" s="58" t="s">
        <v>401</v>
      </c>
      <c r="J153" s="59">
        <v>860</v>
      </c>
      <c r="K153" s="59">
        <v>2543</v>
      </c>
      <c r="L153" s="59">
        <v>34728</v>
      </c>
      <c r="M153" s="59">
        <v>2642</v>
      </c>
      <c r="N153" s="59">
        <v>40773</v>
      </c>
      <c r="O153" s="63"/>
      <c r="P153" s="63">
        <f t="shared" si="4"/>
        <v>-40773</v>
      </c>
      <c r="Q153" s="50"/>
      <c r="R153" s="50"/>
      <c r="S153" s="69" t="s">
        <v>272</v>
      </c>
      <c r="T153" s="50"/>
      <c r="U153" s="52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50"/>
      <c r="DZ153" s="50"/>
      <c r="EA153" s="50"/>
      <c r="EB153" s="50"/>
      <c r="EC153" s="50"/>
      <c r="ED153" s="50"/>
      <c r="EE153" s="50"/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</row>
    <row r="154" s="51" customFormat="1" spans="1:209">
      <c r="A154" s="50"/>
      <c r="B154" s="50"/>
      <c r="C154" s="50"/>
      <c r="D154" s="50"/>
      <c r="E154" s="50"/>
      <c r="F154" s="50"/>
      <c r="G154" s="50"/>
      <c r="H154" s="60" t="s">
        <v>270</v>
      </c>
      <c r="I154" s="60" t="s">
        <v>402</v>
      </c>
      <c r="J154" s="59">
        <v>17804</v>
      </c>
      <c r="K154" s="59">
        <v>99969</v>
      </c>
      <c r="L154" s="59">
        <v>383493</v>
      </c>
      <c r="M154" s="59">
        <v>2377</v>
      </c>
      <c r="N154" s="59">
        <v>503643</v>
      </c>
      <c r="O154" s="63"/>
      <c r="P154" s="63">
        <f t="shared" si="4"/>
        <v>-503643</v>
      </c>
      <c r="Q154" s="50"/>
      <c r="R154" s="50"/>
      <c r="S154" s="69" t="s">
        <v>270</v>
      </c>
      <c r="T154" s="50"/>
      <c r="U154" s="52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50"/>
      <c r="DV154" s="50"/>
      <c r="DW154" s="50"/>
      <c r="DX154" s="50"/>
      <c r="DY154" s="50"/>
      <c r="DZ154" s="50"/>
      <c r="EA154" s="50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</row>
    <row r="155" s="51" customFormat="1" spans="1:209">
      <c r="A155" s="50"/>
      <c r="B155" s="50"/>
      <c r="C155" s="50"/>
      <c r="D155" s="50"/>
      <c r="E155" s="50"/>
      <c r="F155" s="50"/>
      <c r="G155" s="50"/>
      <c r="H155" s="60" t="s">
        <v>270</v>
      </c>
      <c r="I155" s="60" t="s">
        <v>403</v>
      </c>
      <c r="J155" s="59">
        <v>10822</v>
      </c>
      <c r="K155" s="59">
        <v>63618</v>
      </c>
      <c r="L155" s="59">
        <v>277049</v>
      </c>
      <c r="M155" s="59">
        <v>4270</v>
      </c>
      <c r="N155" s="59">
        <v>355759</v>
      </c>
      <c r="O155" s="63"/>
      <c r="P155" s="63">
        <f t="shared" si="4"/>
        <v>-355759</v>
      </c>
      <c r="Q155" s="50"/>
      <c r="R155" s="50"/>
      <c r="S155" s="69" t="s">
        <v>270</v>
      </c>
      <c r="T155" s="50"/>
      <c r="U155" s="52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</row>
    <row r="156" s="51" customFormat="1" spans="1:209">
      <c r="A156" s="50"/>
      <c r="B156" s="50"/>
      <c r="C156" s="50"/>
      <c r="D156" s="50"/>
      <c r="E156" s="50"/>
      <c r="F156" s="50"/>
      <c r="G156" s="50"/>
      <c r="H156" s="60" t="s">
        <v>270</v>
      </c>
      <c r="I156" s="60" t="s">
        <v>404</v>
      </c>
      <c r="J156" s="59">
        <v>6067</v>
      </c>
      <c r="K156" s="59">
        <v>44508</v>
      </c>
      <c r="L156" s="59">
        <v>163836</v>
      </c>
      <c r="M156" s="59">
        <v>2021</v>
      </c>
      <c r="N156" s="59">
        <v>216432</v>
      </c>
      <c r="O156" s="63"/>
      <c r="P156" s="63">
        <f t="shared" si="4"/>
        <v>-216432</v>
      </c>
      <c r="Q156" s="50"/>
      <c r="R156" s="50"/>
      <c r="S156" s="69" t="s">
        <v>270</v>
      </c>
      <c r="T156" s="50"/>
      <c r="U156" s="52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</row>
    <row r="157" s="51" customFormat="1" spans="1:209">
      <c r="A157" s="50"/>
      <c r="B157" s="50"/>
      <c r="C157" s="50"/>
      <c r="D157" s="50"/>
      <c r="E157" s="50"/>
      <c r="F157" s="50"/>
      <c r="G157" s="50"/>
      <c r="H157" s="60" t="s">
        <v>270</v>
      </c>
      <c r="I157" s="60" t="s">
        <v>405</v>
      </c>
      <c r="J157" s="59">
        <v>7722</v>
      </c>
      <c r="K157" s="59">
        <v>45053</v>
      </c>
      <c r="L157" s="59">
        <v>206228</v>
      </c>
      <c r="M157" s="59">
        <v>1597</v>
      </c>
      <c r="N157" s="59">
        <v>260600</v>
      </c>
      <c r="O157" s="63"/>
      <c r="P157" s="63">
        <f t="shared" si="4"/>
        <v>-260600</v>
      </c>
      <c r="Q157" s="50"/>
      <c r="R157" s="50"/>
      <c r="S157" s="69" t="s">
        <v>270</v>
      </c>
      <c r="T157" s="50"/>
      <c r="U157" s="52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</row>
    <row r="158" s="51" customFormat="1" spans="1:209">
      <c r="A158" s="50"/>
      <c r="B158" s="50"/>
      <c r="C158" s="50"/>
      <c r="D158" s="50"/>
      <c r="E158" s="50"/>
      <c r="F158" s="50"/>
      <c r="G158" s="50"/>
      <c r="H158" s="60" t="s">
        <v>270</v>
      </c>
      <c r="I158" s="60" t="s">
        <v>406</v>
      </c>
      <c r="J158" s="59">
        <v>22009</v>
      </c>
      <c r="K158" s="59">
        <v>75468</v>
      </c>
      <c r="L158" s="59">
        <v>516086</v>
      </c>
      <c r="M158" s="59">
        <v>6444</v>
      </c>
      <c r="N158" s="59">
        <v>620007</v>
      </c>
      <c r="O158" s="63"/>
      <c r="P158" s="63">
        <f t="shared" si="4"/>
        <v>-620007</v>
      </c>
      <c r="Q158" s="50"/>
      <c r="R158" s="50"/>
      <c r="S158" s="69" t="s">
        <v>270</v>
      </c>
      <c r="T158" s="50"/>
      <c r="U158" s="52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</row>
    <row r="159" s="51" customFormat="1" spans="1:209">
      <c r="A159" s="50"/>
      <c r="B159" s="50"/>
      <c r="C159" s="50"/>
      <c r="D159" s="50"/>
      <c r="E159" s="50"/>
      <c r="F159" s="50"/>
      <c r="G159" s="50"/>
      <c r="H159" s="60" t="s">
        <v>270</v>
      </c>
      <c r="I159" s="60" t="s">
        <v>407</v>
      </c>
      <c r="J159" s="59">
        <v>4143</v>
      </c>
      <c r="K159" s="59">
        <v>31108</v>
      </c>
      <c r="L159" s="59">
        <v>181464</v>
      </c>
      <c r="M159" s="59">
        <v>2448</v>
      </c>
      <c r="N159" s="59">
        <v>219163</v>
      </c>
      <c r="O159" s="63"/>
      <c r="P159" s="63">
        <f t="shared" si="4"/>
        <v>-219163</v>
      </c>
      <c r="Q159" s="50"/>
      <c r="R159" s="50"/>
      <c r="S159" s="69" t="s">
        <v>270</v>
      </c>
      <c r="T159" s="50"/>
      <c r="U159" s="52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50"/>
      <c r="DZ159" s="50"/>
      <c r="EA159" s="50"/>
      <c r="EB159" s="50"/>
      <c r="EC159" s="50"/>
      <c r="ED159" s="50"/>
      <c r="EE159" s="50"/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</row>
    <row r="160" s="51" customFormat="1" spans="1:209">
      <c r="A160" s="50"/>
      <c r="B160" s="50"/>
      <c r="C160" s="50"/>
      <c r="D160" s="50"/>
      <c r="E160" s="50"/>
      <c r="F160" s="50"/>
      <c r="G160" s="50"/>
      <c r="H160" s="60" t="s">
        <v>270</v>
      </c>
      <c r="I160" s="60" t="s">
        <v>408</v>
      </c>
      <c r="J160" s="59">
        <v>30957</v>
      </c>
      <c r="K160" s="59">
        <v>204366</v>
      </c>
      <c r="L160" s="59">
        <v>700807</v>
      </c>
      <c r="M160" s="59">
        <v>3439</v>
      </c>
      <c r="N160" s="59">
        <v>939569</v>
      </c>
      <c r="O160" s="63"/>
      <c r="P160" s="63">
        <f t="shared" si="4"/>
        <v>-939569</v>
      </c>
      <c r="Q160" s="50"/>
      <c r="R160" s="50"/>
      <c r="S160" s="69" t="s">
        <v>270</v>
      </c>
      <c r="T160" s="50"/>
      <c r="U160" s="52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  <c r="DR160" s="50"/>
      <c r="DS160" s="50"/>
      <c r="DT160" s="50"/>
      <c r="DU160" s="50"/>
      <c r="DV160" s="50"/>
      <c r="DW160" s="50"/>
      <c r="DX160" s="50"/>
      <c r="DY160" s="50"/>
      <c r="DZ160" s="50"/>
      <c r="EA160" s="50"/>
      <c r="EB160" s="50"/>
      <c r="EC160" s="50"/>
      <c r="ED160" s="50"/>
      <c r="EE160" s="50"/>
      <c r="EF160" s="50"/>
      <c r="EG160" s="50"/>
      <c r="EH160" s="50"/>
      <c r="EI160" s="50"/>
      <c r="EJ160" s="5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</row>
    <row r="161" s="51" customFormat="1" spans="1:209">
      <c r="A161" s="50"/>
      <c r="B161" s="50"/>
      <c r="C161" s="50"/>
      <c r="D161" s="50"/>
      <c r="E161" s="50"/>
      <c r="F161" s="50"/>
      <c r="G161" s="50"/>
      <c r="H161" s="60" t="s">
        <v>270</v>
      </c>
      <c r="I161" s="60" t="s">
        <v>409</v>
      </c>
      <c r="J161" s="59">
        <v>14713</v>
      </c>
      <c r="K161" s="59">
        <v>70136</v>
      </c>
      <c r="L161" s="59">
        <v>298420</v>
      </c>
      <c r="M161" s="59">
        <v>9347</v>
      </c>
      <c r="N161" s="59">
        <v>392616</v>
      </c>
      <c r="O161" s="63"/>
      <c r="P161" s="63">
        <f t="shared" si="4"/>
        <v>-392616</v>
      </c>
      <c r="Q161" s="50"/>
      <c r="R161" s="50"/>
      <c r="S161" s="69" t="s">
        <v>270</v>
      </c>
      <c r="T161" s="50"/>
      <c r="U161" s="52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50"/>
      <c r="DZ161" s="50"/>
      <c r="EA161" s="50"/>
      <c r="EB161" s="50"/>
      <c r="EC161" s="50"/>
      <c r="ED161" s="50"/>
      <c r="EE161" s="50"/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</row>
    <row r="162" s="51" customFormat="1" spans="1:209">
      <c r="A162" s="50"/>
      <c r="B162" s="50"/>
      <c r="C162" s="50"/>
      <c r="D162" s="50"/>
      <c r="E162" s="50"/>
      <c r="F162" s="50"/>
      <c r="G162" s="50"/>
      <c r="H162" s="60" t="s">
        <v>270</v>
      </c>
      <c r="I162" s="60" t="s">
        <v>410</v>
      </c>
      <c r="J162" s="59">
        <v>11079</v>
      </c>
      <c r="K162" s="59">
        <v>48688</v>
      </c>
      <c r="L162" s="59">
        <v>241819</v>
      </c>
      <c r="M162" s="59">
        <v>2606</v>
      </c>
      <c r="N162" s="59">
        <v>304192</v>
      </c>
      <c r="O162" s="63"/>
      <c r="P162" s="63">
        <f t="shared" si="4"/>
        <v>-304192</v>
      </c>
      <c r="Q162" s="50"/>
      <c r="R162" s="50"/>
      <c r="S162" s="69" t="s">
        <v>270</v>
      </c>
      <c r="T162" s="50"/>
      <c r="U162" s="52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</row>
    <row r="163" s="51" customFormat="1" spans="1:209">
      <c r="A163" s="50"/>
      <c r="B163" s="50"/>
      <c r="C163" s="50"/>
      <c r="D163" s="50"/>
      <c r="E163" s="50"/>
      <c r="F163" s="50"/>
      <c r="G163" s="50"/>
      <c r="H163" s="60" t="s">
        <v>270</v>
      </c>
      <c r="I163" s="60" t="s">
        <v>411</v>
      </c>
      <c r="J163" s="59">
        <v>6403</v>
      </c>
      <c r="K163" s="59">
        <v>31854</v>
      </c>
      <c r="L163" s="59">
        <v>151041</v>
      </c>
      <c r="M163" s="59">
        <v>2971</v>
      </c>
      <c r="N163" s="59">
        <v>192269</v>
      </c>
      <c r="O163" s="63"/>
      <c r="P163" s="63">
        <f t="shared" si="4"/>
        <v>-192269</v>
      </c>
      <c r="Q163" s="50"/>
      <c r="R163" s="50"/>
      <c r="S163" s="69" t="s">
        <v>270</v>
      </c>
      <c r="T163" s="50"/>
      <c r="U163" s="52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</row>
    <row r="164" s="51" customFormat="1" spans="1:209">
      <c r="A164" s="50"/>
      <c r="B164" s="50"/>
      <c r="C164" s="50"/>
      <c r="D164" s="50"/>
      <c r="E164" s="50"/>
      <c r="F164" s="50"/>
      <c r="G164" s="50"/>
      <c r="H164" s="60" t="s">
        <v>270</v>
      </c>
      <c r="I164" s="60" t="s">
        <v>412</v>
      </c>
      <c r="J164" s="59">
        <v>4466</v>
      </c>
      <c r="K164" s="59">
        <v>27184</v>
      </c>
      <c r="L164" s="59">
        <v>134049</v>
      </c>
      <c r="M164" s="59">
        <v>2478</v>
      </c>
      <c r="N164" s="59">
        <v>168177</v>
      </c>
      <c r="O164" s="63"/>
      <c r="P164" s="63">
        <f t="shared" ref="P164:P189" si="5">O164-N164</f>
        <v>-168177</v>
      </c>
      <c r="Q164" s="50"/>
      <c r="R164" s="50"/>
      <c r="S164" s="69" t="s">
        <v>270</v>
      </c>
      <c r="T164" s="50"/>
      <c r="U164" s="52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50"/>
      <c r="DS164" s="50"/>
      <c r="DT164" s="50"/>
      <c r="DU164" s="50"/>
      <c r="DV164" s="50"/>
      <c r="DW164" s="50"/>
      <c r="DX164" s="50"/>
      <c r="DY164" s="50"/>
      <c r="DZ164" s="50"/>
      <c r="EA164" s="50"/>
      <c r="EB164" s="50"/>
      <c r="EC164" s="50"/>
      <c r="ED164" s="50"/>
      <c r="EE164" s="50"/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</row>
    <row r="165" s="51" customFormat="1" spans="1:209">
      <c r="A165" s="50"/>
      <c r="B165" s="50"/>
      <c r="C165" s="50"/>
      <c r="D165" s="50"/>
      <c r="E165" s="50"/>
      <c r="F165" s="50"/>
      <c r="G165" s="50"/>
      <c r="H165" s="60" t="s">
        <v>270</v>
      </c>
      <c r="I165" s="60" t="s">
        <v>413</v>
      </c>
      <c r="J165" s="59">
        <v>2007</v>
      </c>
      <c r="K165" s="59">
        <v>12348</v>
      </c>
      <c r="L165" s="59">
        <v>73326</v>
      </c>
      <c r="M165" s="59">
        <v>2414</v>
      </c>
      <c r="N165" s="59">
        <v>90095</v>
      </c>
      <c r="O165" s="63"/>
      <c r="P165" s="63">
        <f t="shared" si="5"/>
        <v>-90095</v>
      </c>
      <c r="Q165" s="50"/>
      <c r="R165" s="50"/>
      <c r="S165" s="69" t="s">
        <v>270</v>
      </c>
      <c r="T165" s="50"/>
      <c r="U165" s="52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</row>
    <row r="166" s="51" customFormat="1" spans="1:209">
      <c r="A166" s="50"/>
      <c r="B166" s="50"/>
      <c r="C166" s="50"/>
      <c r="D166" s="50"/>
      <c r="E166" s="50"/>
      <c r="F166" s="50"/>
      <c r="G166" s="50"/>
      <c r="H166" s="60" t="s">
        <v>270</v>
      </c>
      <c r="I166" s="60" t="s">
        <v>414</v>
      </c>
      <c r="J166" s="59">
        <v>4562</v>
      </c>
      <c r="K166" s="59">
        <v>29309</v>
      </c>
      <c r="L166" s="59">
        <v>145247</v>
      </c>
      <c r="M166" s="59">
        <v>1136</v>
      </c>
      <c r="N166" s="59">
        <v>180254</v>
      </c>
      <c r="O166" s="63"/>
      <c r="P166" s="63">
        <f t="shared" si="5"/>
        <v>-180254</v>
      </c>
      <c r="Q166" s="50"/>
      <c r="R166" s="50"/>
      <c r="S166" s="69" t="s">
        <v>270</v>
      </c>
      <c r="T166" s="50"/>
      <c r="U166" s="52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</row>
    <row r="167" s="51" customFormat="1" spans="1:209">
      <c r="A167" s="50"/>
      <c r="B167" s="50"/>
      <c r="C167" s="50"/>
      <c r="D167" s="50"/>
      <c r="E167" s="50"/>
      <c r="F167" s="50"/>
      <c r="G167" s="50"/>
      <c r="H167" s="60" t="s">
        <v>270</v>
      </c>
      <c r="I167" s="60" t="s">
        <v>415</v>
      </c>
      <c r="J167" s="59">
        <v>14443</v>
      </c>
      <c r="K167" s="59">
        <v>95109</v>
      </c>
      <c r="L167" s="59">
        <v>390679</v>
      </c>
      <c r="M167" s="59">
        <v>3647</v>
      </c>
      <c r="N167" s="59">
        <v>503878</v>
      </c>
      <c r="O167" s="63"/>
      <c r="P167" s="63">
        <f t="shared" si="5"/>
        <v>-503878</v>
      </c>
      <c r="Q167" s="50"/>
      <c r="R167" s="50"/>
      <c r="S167" s="69" t="s">
        <v>270</v>
      </c>
      <c r="T167" s="50"/>
      <c r="U167" s="52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50"/>
      <c r="DZ167" s="50"/>
      <c r="EA167" s="50"/>
      <c r="EB167" s="50"/>
      <c r="EC167" s="50"/>
      <c r="ED167" s="50"/>
      <c r="EE167" s="50"/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</row>
    <row r="168" s="51" customFormat="1" spans="1:209">
      <c r="A168" s="50"/>
      <c r="B168" s="50"/>
      <c r="C168" s="50"/>
      <c r="D168" s="50"/>
      <c r="E168" s="50"/>
      <c r="F168" s="50"/>
      <c r="G168" s="50"/>
      <c r="H168" s="60" t="s">
        <v>270</v>
      </c>
      <c r="I168" s="60" t="s">
        <v>416</v>
      </c>
      <c r="J168" s="59">
        <v>19320</v>
      </c>
      <c r="K168" s="59">
        <v>146045</v>
      </c>
      <c r="L168" s="59">
        <v>407848</v>
      </c>
      <c r="M168" s="59">
        <v>3433</v>
      </c>
      <c r="N168" s="59">
        <v>576646</v>
      </c>
      <c r="O168" s="63"/>
      <c r="P168" s="63">
        <f t="shared" si="5"/>
        <v>-576646</v>
      </c>
      <c r="Q168" s="50"/>
      <c r="R168" s="50"/>
      <c r="S168" s="69" t="s">
        <v>270</v>
      </c>
      <c r="T168" s="50"/>
      <c r="U168" s="52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</row>
    <row r="169" s="51" customFormat="1" spans="1:209">
      <c r="A169" s="50"/>
      <c r="B169" s="50"/>
      <c r="C169" s="50"/>
      <c r="D169" s="50"/>
      <c r="E169" s="50"/>
      <c r="F169" s="50"/>
      <c r="G169" s="50"/>
      <c r="H169" s="60" t="s">
        <v>270</v>
      </c>
      <c r="I169" s="60" t="s">
        <v>417</v>
      </c>
      <c r="J169" s="59">
        <v>10464</v>
      </c>
      <c r="K169" s="59">
        <v>62315</v>
      </c>
      <c r="L169" s="59">
        <v>250713</v>
      </c>
      <c r="M169" s="59">
        <v>1327</v>
      </c>
      <c r="N169" s="59">
        <v>324819</v>
      </c>
      <c r="O169" s="63"/>
      <c r="P169" s="63">
        <f t="shared" si="5"/>
        <v>-324819</v>
      </c>
      <c r="Q169" s="50"/>
      <c r="R169" s="50"/>
      <c r="S169" s="69" t="s">
        <v>270</v>
      </c>
      <c r="T169" s="50"/>
      <c r="U169" s="52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</row>
    <row r="170" s="51" customFormat="1" spans="1:209">
      <c r="A170" s="50"/>
      <c r="B170" s="50"/>
      <c r="C170" s="50"/>
      <c r="D170" s="50"/>
      <c r="E170" s="50"/>
      <c r="F170" s="50"/>
      <c r="G170" s="50"/>
      <c r="H170" s="60" t="s">
        <v>270</v>
      </c>
      <c r="I170" s="60" t="s">
        <v>418</v>
      </c>
      <c r="J170" s="59">
        <v>10185</v>
      </c>
      <c r="K170" s="59">
        <v>76886</v>
      </c>
      <c r="L170" s="59">
        <v>330064</v>
      </c>
      <c r="M170" s="59">
        <v>2226</v>
      </c>
      <c r="N170" s="59">
        <v>419361</v>
      </c>
      <c r="O170" s="63"/>
      <c r="P170" s="63">
        <f t="shared" si="5"/>
        <v>-419361</v>
      </c>
      <c r="Q170" s="50"/>
      <c r="R170" s="50"/>
      <c r="S170" s="69" t="s">
        <v>270</v>
      </c>
      <c r="T170" s="50"/>
      <c r="U170" s="52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0"/>
      <c r="EE170" s="50"/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0"/>
      <c r="GF170" s="50"/>
      <c r="GG170" s="50"/>
      <c r="GH170" s="50"/>
      <c r="GI170" s="50"/>
      <c r="GJ170" s="50"/>
      <c r="GK170" s="50"/>
      <c r="GL170" s="50"/>
      <c r="GM170" s="50"/>
      <c r="GN170" s="50"/>
      <c r="GO170" s="50"/>
      <c r="GP170" s="50"/>
      <c r="GQ170" s="50"/>
      <c r="GR170" s="50"/>
      <c r="GS170" s="50"/>
      <c r="GT170" s="50"/>
      <c r="GU170" s="50"/>
      <c r="GV170" s="50"/>
      <c r="GW170" s="50"/>
      <c r="GX170" s="50"/>
      <c r="GY170" s="50"/>
      <c r="GZ170" s="50"/>
      <c r="HA170" s="50"/>
    </row>
    <row r="171" s="51" customFormat="1" spans="1:209">
      <c r="A171" s="50"/>
      <c r="B171" s="50"/>
      <c r="C171" s="50"/>
      <c r="D171" s="50"/>
      <c r="E171" s="50"/>
      <c r="F171" s="50"/>
      <c r="G171" s="50"/>
      <c r="H171" s="60" t="s">
        <v>270</v>
      </c>
      <c r="I171" s="60" t="s">
        <v>419</v>
      </c>
      <c r="J171" s="59">
        <v>23763</v>
      </c>
      <c r="K171" s="59">
        <v>131384</v>
      </c>
      <c r="L171" s="59">
        <v>499326</v>
      </c>
      <c r="M171" s="59">
        <v>4644</v>
      </c>
      <c r="N171" s="59">
        <v>659117</v>
      </c>
      <c r="O171" s="63"/>
      <c r="P171" s="63">
        <f t="shared" si="5"/>
        <v>-659117</v>
      </c>
      <c r="Q171" s="50"/>
      <c r="R171" s="50"/>
      <c r="S171" s="69" t="s">
        <v>270</v>
      </c>
      <c r="T171" s="50"/>
      <c r="U171" s="52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0"/>
      <c r="EE171" s="50"/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  <c r="GF171" s="50"/>
      <c r="GG171" s="50"/>
      <c r="GH171" s="50"/>
      <c r="GI171" s="50"/>
      <c r="GJ171" s="50"/>
      <c r="GK171" s="50"/>
      <c r="GL171" s="50"/>
      <c r="GM171" s="50"/>
      <c r="GN171" s="50"/>
      <c r="GO171" s="50"/>
      <c r="GP171" s="50"/>
      <c r="GQ171" s="50"/>
      <c r="GR171" s="50"/>
      <c r="GS171" s="50"/>
      <c r="GT171" s="50"/>
      <c r="GU171" s="50"/>
      <c r="GV171" s="50"/>
      <c r="GW171" s="50"/>
      <c r="GX171" s="50"/>
      <c r="GY171" s="50"/>
      <c r="GZ171" s="50"/>
      <c r="HA171" s="50"/>
    </row>
    <row r="172" s="51" customFormat="1" spans="1:209">
      <c r="A172" s="50"/>
      <c r="B172" s="50"/>
      <c r="C172" s="50"/>
      <c r="D172" s="50"/>
      <c r="E172" s="50"/>
      <c r="F172" s="50"/>
      <c r="G172" s="50"/>
      <c r="H172" s="60" t="s">
        <v>270</v>
      </c>
      <c r="I172" s="60" t="s">
        <v>420</v>
      </c>
      <c r="J172" s="59">
        <v>7004</v>
      </c>
      <c r="K172" s="59">
        <v>39671</v>
      </c>
      <c r="L172" s="59">
        <v>215978</v>
      </c>
      <c r="M172" s="59">
        <v>4747</v>
      </c>
      <c r="N172" s="59">
        <v>267400</v>
      </c>
      <c r="O172" s="63"/>
      <c r="P172" s="63">
        <f t="shared" si="5"/>
        <v>-267400</v>
      </c>
      <c r="Q172" s="50"/>
      <c r="R172" s="50"/>
      <c r="S172" s="69" t="s">
        <v>270</v>
      </c>
      <c r="T172" s="50"/>
      <c r="U172" s="52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  <c r="DR172" s="50"/>
      <c r="DS172" s="50"/>
      <c r="DT172" s="50"/>
      <c r="DU172" s="50"/>
      <c r="DV172" s="50"/>
      <c r="DW172" s="50"/>
      <c r="DX172" s="50"/>
      <c r="DY172" s="50"/>
      <c r="DZ172" s="50"/>
      <c r="EA172" s="50"/>
      <c r="EB172" s="50"/>
      <c r="EC172" s="50"/>
      <c r="ED172" s="50"/>
      <c r="EE172" s="50"/>
      <c r="EF172" s="50"/>
      <c r="EG172" s="50"/>
      <c r="EH172" s="50"/>
      <c r="EI172" s="50"/>
      <c r="EJ172" s="50"/>
      <c r="EK172" s="50"/>
      <c r="EL172" s="50"/>
      <c r="EM172" s="50"/>
      <c r="EN172" s="50"/>
      <c r="EO172" s="50"/>
      <c r="EP172" s="50"/>
      <c r="EQ172" s="50"/>
      <c r="ER172" s="50"/>
      <c r="ES172" s="50"/>
      <c r="ET172" s="50"/>
      <c r="EU172" s="50"/>
      <c r="EV172" s="50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  <c r="FK172" s="50"/>
      <c r="FL172" s="50"/>
      <c r="FM172" s="50"/>
      <c r="FN172" s="50"/>
      <c r="FO172" s="50"/>
      <c r="FP172" s="50"/>
      <c r="FQ172" s="50"/>
      <c r="FR172" s="50"/>
      <c r="FS172" s="50"/>
      <c r="FT172" s="50"/>
      <c r="FU172" s="50"/>
      <c r="FV172" s="50"/>
      <c r="FW172" s="50"/>
      <c r="FX172" s="50"/>
      <c r="FY172" s="50"/>
      <c r="FZ172" s="50"/>
      <c r="GA172" s="50"/>
      <c r="GB172" s="50"/>
      <c r="GC172" s="50"/>
      <c r="GD172" s="50"/>
      <c r="GE172" s="50"/>
      <c r="GF172" s="50"/>
      <c r="GG172" s="50"/>
      <c r="GH172" s="50"/>
      <c r="GI172" s="50"/>
      <c r="GJ172" s="50"/>
      <c r="GK172" s="50"/>
      <c r="GL172" s="50"/>
      <c r="GM172" s="50"/>
      <c r="GN172" s="50"/>
      <c r="GO172" s="50"/>
      <c r="GP172" s="50"/>
      <c r="GQ172" s="50"/>
      <c r="GR172" s="50"/>
      <c r="GS172" s="50"/>
      <c r="GT172" s="50"/>
      <c r="GU172" s="50"/>
      <c r="GV172" s="50"/>
      <c r="GW172" s="50"/>
      <c r="GX172" s="50"/>
      <c r="GY172" s="50"/>
      <c r="GZ172" s="50"/>
      <c r="HA172" s="50"/>
    </row>
    <row r="173" s="51" customFormat="1" spans="1:209">
      <c r="A173" s="50"/>
      <c r="B173" s="50"/>
      <c r="C173" s="50"/>
      <c r="D173" s="50"/>
      <c r="E173" s="50"/>
      <c r="F173" s="50"/>
      <c r="G173" s="50"/>
      <c r="H173" s="60" t="s">
        <v>270</v>
      </c>
      <c r="I173" s="60" t="s">
        <v>421</v>
      </c>
      <c r="J173" s="59">
        <v>7001</v>
      </c>
      <c r="K173" s="59">
        <v>32422</v>
      </c>
      <c r="L173" s="59">
        <v>163490</v>
      </c>
      <c r="M173" s="59">
        <v>2257</v>
      </c>
      <c r="N173" s="59">
        <v>205170</v>
      </c>
      <c r="O173" s="63"/>
      <c r="P173" s="63">
        <f t="shared" si="5"/>
        <v>-205170</v>
      </c>
      <c r="Q173" s="50"/>
      <c r="R173" s="50"/>
      <c r="S173" s="69" t="s">
        <v>270</v>
      </c>
      <c r="T173" s="50"/>
      <c r="U173" s="52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50"/>
      <c r="DZ173" s="50"/>
      <c r="EA173" s="50"/>
      <c r="EB173" s="50"/>
      <c r="EC173" s="50"/>
      <c r="ED173" s="50"/>
      <c r="EE173" s="50"/>
      <c r="EF173" s="50"/>
      <c r="EG173" s="50"/>
      <c r="EH173" s="50"/>
      <c r="EI173" s="50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  <c r="FK173" s="50"/>
      <c r="FL173" s="50"/>
      <c r="FM173" s="50"/>
      <c r="FN173" s="50"/>
      <c r="FO173" s="50"/>
      <c r="FP173" s="50"/>
      <c r="FQ173" s="50"/>
      <c r="FR173" s="50"/>
      <c r="FS173" s="50"/>
      <c r="FT173" s="50"/>
      <c r="FU173" s="50"/>
      <c r="FV173" s="50"/>
      <c r="FW173" s="50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0"/>
      <c r="GI173" s="50"/>
      <c r="GJ173" s="50"/>
      <c r="GK173" s="50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0"/>
      <c r="GW173" s="50"/>
      <c r="GX173" s="50"/>
      <c r="GY173" s="50"/>
      <c r="GZ173" s="50"/>
      <c r="HA173" s="50"/>
    </row>
    <row r="174" s="51" customFormat="1" spans="1:209">
      <c r="A174" s="50"/>
      <c r="B174" s="50"/>
      <c r="C174" s="50"/>
      <c r="D174" s="50"/>
      <c r="E174" s="50"/>
      <c r="F174" s="50"/>
      <c r="G174" s="50"/>
      <c r="H174" s="60" t="s">
        <v>270</v>
      </c>
      <c r="I174" s="60" t="s">
        <v>422</v>
      </c>
      <c r="J174" s="59">
        <v>10733</v>
      </c>
      <c r="K174" s="59">
        <v>59382</v>
      </c>
      <c r="L174" s="59">
        <v>234021</v>
      </c>
      <c r="M174" s="59">
        <v>1684</v>
      </c>
      <c r="N174" s="59">
        <v>305820</v>
      </c>
      <c r="O174" s="63"/>
      <c r="P174" s="63">
        <f t="shared" si="5"/>
        <v>-305820</v>
      </c>
      <c r="Q174" s="50"/>
      <c r="R174" s="50"/>
      <c r="S174" s="69" t="s">
        <v>270</v>
      </c>
      <c r="T174" s="50"/>
      <c r="U174" s="52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50"/>
      <c r="DZ174" s="50"/>
      <c r="EA174" s="50"/>
      <c r="EB174" s="50"/>
      <c r="EC174" s="50"/>
      <c r="ED174" s="50"/>
      <c r="EE174" s="50"/>
      <c r="EF174" s="50"/>
      <c r="EG174" s="50"/>
      <c r="EH174" s="50"/>
      <c r="EI174" s="50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  <c r="FK174" s="50"/>
      <c r="FL174" s="50"/>
      <c r="FM174" s="50"/>
      <c r="FN174" s="50"/>
      <c r="FO174" s="50"/>
      <c r="FP174" s="50"/>
      <c r="FQ174" s="50"/>
      <c r="FR174" s="50"/>
      <c r="FS174" s="50"/>
      <c r="FT174" s="50"/>
      <c r="FU174" s="50"/>
      <c r="FV174" s="50"/>
      <c r="FW174" s="50"/>
      <c r="FX174" s="50"/>
      <c r="FY174" s="50"/>
      <c r="FZ174" s="50"/>
      <c r="GA174" s="50"/>
      <c r="GB174" s="50"/>
      <c r="GC174" s="50"/>
      <c r="GD174" s="50"/>
      <c r="GE174" s="50"/>
      <c r="GF174" s="50"/>
      <c r="GG174" s="50"/>
      <c r="GH174" s="50"/>
      <c r="GI174" s="50"/>
      <c r="GJ174" s="50"/>
      <c r="GK174" s="50"/>
      <c r="GL174" s="50"/>
      <c r="GM174" s="50"/>
      <c r="GN174" s="50"/>
      <c r="GO174" s="50"/>
      <c r="GP174" s="50"/>
      <c r="GQ174" s="50"/>
      <c r="GR174" s="50"/>
      <c r="GS174" s="50"/>
      <c r="GT174" s="50"/>
      <c r="GU174" s="50"/>
      <c r="GV174" s="50"/>
      <c r="GW174" s="50"/>
      <c r="GX174" s="50"/>
      <c r="GY174" s="50"/>
      <c r="GZ174" s="50"/>
      <c r="HA174" s="50"/>
    </row>
    <row r="175" s="51" customFormat="1" spans="1:209">
      <c r="A175" s="50"/>
      <c r="B175" s="50"/>
      <c r="C175" s="50"/>
      <c r="D175" s="50"/>
      <c r="E175" s="50"/>
      <c r="F175" s="50"/>
      <c r="G175" s="50"/>
      <c r="H175" s="60" t="s">
        <v>270</v>
      </c>
      <c r="I175" s="60" t="s">
        <v>423</v>
      </c>
      <c r="J175" s="59">
        <v>6809</v>
      </c>
      <c r="K175" s="59">
        <v>39542</v>
      </c>
      <c r="L175" s="59">
        <v>220146</v>
      </c>
      <c r="M175" s="59">
        <v>594</v>
      </c>
      <c r="N175" s="59">
        <v>267091</v>
      </c>
      <c r="O175" s="63"/>
      <c r="P175" s="63">
        <f t="shared" si="5"/>
        <v>-267091</v>
      </c>
      <c r="Q175" s="50"/>
      <c r="R175" s="50"/>
      <c r="S175" s="69" t="s">
        <v>270</v>
      </c>
      <c r="T175" s="50"/>
      <c r="U175" s="52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50"/>
      <c r="EC175" s="50"/>
      <c r="ED175" s="50"/>
      <c r="EE175" s="50"/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  <c r="GF175" s="50"/>
      <c r="GG175" s="50"/>
      <c r="GH175" s="50"/>
      <c r="GI175" s="50"/>
      <c r="GJ175" s="50"/>
      <c r="GK175" s="50"/>
      <c r="GL175" s="50"/>
      <c r="GM175" s="50"/>
      <c r="GN175" s="50"/>
      <c r="GO175" s="50"/>
      <c r="GP175" s="50"/>
      <c r="GQ175" s="50"/>
      <c r="GR175" s="50"/>
      <c r="GS175" s="50"/>
      <c r="GT175" s="50"/>
      <c r="GU175" s="50"/>
      <c r="GV175" s="50"/>
      <c r="GW175" s="50"/>
      <c r="GX175" s="50"/>
      <c r="GY175" s="50"/>
      <c r="GZ175" s="50"/>
      <c r="HA175" s="50"/>
    </row>
    <row r="176" s="51" customFormat="1" spans="1:209">
      <c r="A176" s="50"/>
      <c r="B176" s="50"/>
      <c r="C176" s="50"/>
      <c r="D176" s="50"/>
      <c r="E176" s="50"/>
      <c r="F176" s="50"/>
      <c r="G176" s="50"/>
      <c r="H176" s="60" t="s">
        <v>270</v>
      </c>
      <c r="I176" s="60" t="s">
        <v>424</v>
      </c>
      <c r="J176" s="59">
        <v>7182</v>
      </c>
      <c r="K176" s="59">
        <v>36713</v>
      </c>
      <c r="L176" s="59">
        <v>146392</v>
      </c>
      <c r="M176" s="59">
        <v>793</v>
      </c>
      <c r="N176" s="59">
        <v>191080</v>
      </c>
      <c r="O176" s="63"/>
      <c r="P176" s="63">
        <f t="shared" si="5"/>
        <v>-191080</v>
      </c>
      <c r="Q176" s="50"/>
      <c r="R176" s="50"/>
      <c r="S176" s="69" t="s">
        <v>270</v>
      </c>
      <c r="T176" s="50"/>
      <c r="U176" s="52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50"/>
      <c r="EC176" s="50"/>
      <c r="ED176" s="50"/>
      <c r="EE176" s="50"/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  <c r="GF176" s="50"/>
      <c r="GG176" s="50"/>
      <c r="GH176" s="50"/>
      <c r="GI176" s="50"/>
      <c r="GJ176" s="50"/>
      <c r="GK176" s="50"/>
      <c r="GL176" s="50"/>
      <c r="GM176" s="50"/>
      <c r="GN176" s="50"/>
      <c r="GO176" s="50"/>
      <c r="GP176" s="50"/>
      <c r="GQ176" s="50"/>
      <c r="GR176" s="50"/>
      <c r="GS176" s="50"/>
      <c r="GT176" s="50"/>
      <c r="GU176" s="50"/>
      <c r="GV176" s="50"/>
      <c r="GW176" s="50"/>
      <c r="GX176" s="50"/>
      <c r="GY176" s="50"/>
      <c r="GZ176" s="50"/>
      <c r="HA176" s="50"/>
    </row>
    <row r="177" s="51" customFormat="1" spans="1:209">
      <c r="A177" s="50"/>
      <c r="B177" s="50"/>
      <c r="C177" s="50"/>
      <c r="D177" s="50"/>
      <c r="E177" s="50"/>
      <c r="F177" s="50"/>
      <c r="G177" s="50"/>
      <c r="H177" s="60" t="s">
        <v>270</v>
      </c>
      <c r="I177" s="60" t="s">
        <v>425</v>
      </c>
      <c r="J177" s="59">
        <v>5929</v>
      </c>
      <c r="K177" s="59">
        <v>41861</v>
      </c>
      <c r="L177" s="59">
        <v>181048</v>
      </c>
      <c r="M177" s="59">
        <v>1823</v>
      </c>
      <c r="N177" s="59">
        <v>230661</v>
      </c>
      <c r="O177" s="63"/>
      <c r="P177" s="63">
        <f t="shared" si="5"/>
        <v>-230661</v>
      </c>
      <c r="Q177" s="50"/>
      <c r="R177" s="50"/>
      <c r="S177" s="69" t="s">
        <v>270</v>
      </c>
      <c r="T177" s="50"/>
      <c r="U177" s="52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  <c r="DR177" s="50"/>
      <c r="DS177" s="50"/>
      <c r="DT177" s="50"/>
      <c r="DU177" s="50"/>
      <c r="DV177" s="50"/>
      <c r="DW177" s="50"/>
      <c r="DX177" s="50"/>
      <c r="DY177" s="50"/>
      <c r="DZ177" s="50"/>
      <c r="EA177" s="50"/>
      <c r="EB177" s="50"/>
      <c r="EC177" s="50"/>
      <c r="ED177" s="50"/>
      <c r="EE177" s="50"/>
      <c r="EF177" s="50"/>
      <c r="EG177" s="50"/>
      <c r="EH177" s="50"/>
      <c r="EI177" s="50"/>
      <c r="EJ177" s="50"/>
      <c r="EK177" s="50"/>
      <c r="EL177" s="50"/>
      <c r="EM177" s="50"/>
      <c r="EN177" s="50"/>
      <c r="EO177" s="50"/>
      <c r="EP177" s="50"/>
      <c r="EQ177" s="50"/>
      <c r="ER177" s="50"/>
      <c r="ES177" s="50"/>
      <c r="ET177" s="50"/>
      <c r="EU177" s="50"/>
      <c r="EV177" s="50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  <c r="FK177" s="50"/>
      <c r="FL177" s="50"/>
      <c r="FM177" s="50"/>
      <c r="FN177" s="50"/>
      <c r="FO177" s="50"/>
      <c r="FP177" s="50"/>
      <c r="FQ177" s="50"/>
      <c r="FR177" s="50"/>
      <c r="FS177" s="50"/>
      <c r="FT177" s="50"/>
      <c r="FU177" s="50"/>
      <c r="FV177" s="50"/>
      <c r="FW177" s="50"/>
      <c r="FX177" s="50"/>
      <c r="FY177" s="50"/>
      <c r="FZ177" s="50"/>
      <c r="GA177" s="50"/>
      <c r="GB177" s="50"/>
      <c r="GC177" s="50"/>
      <c r="GD177" s="50"/>
      <c r="GE177" s="50"/>
      <c r="GF177" s="50"/>
      <c r="GG177" s="50"/>
      <c r="GH177" s="50"/>
      <c r="GI177" s="50"/>
      <c r="GJ177" s="50"/>
      <c r="GK177" s="50"/>
      <c r="GL177" s="50"/>
      <c r="GM177" s="50"/>
      <c r="GN177" s="50"/>
      <c r="GO177" s="50"/>
      <c r="GP177" s="50"/>
      <c r="GQ177" s="50"/>
      <c r="GR177" s="50"/>
      <c r="GS177" s="50"/>
      <c r="GT177" s="50"/>
      <c r="GU177" s="50"/>
      <c r="GV177" s="50"/>
      <c r="GW177" s="50"/>
      <c r="GX177" s="50"/>
      <c r="GY177" s="50"/>
      <c r="GZ177" s="50"/>
      <c r="HA177" s="50"/>
    </row>
    <row r="178" s="51" customFormat="1" spans="1:209">
      <c r="A178" s="50"/>
      <c r="B178" s="50"/>
      <c r="C178" s="50"/>
      <c r="D178" s="50"/>
      <c r="E178" s="50"/>
      <c r="F178" s="50"/>
      <c r="G178" s="50"/>
      <c r="H178" s="60" t="s">
        <v>270</v>
      </c>
      <c r="I178" s="60" t="s">
        <v>426</v>
      </c>
      <c r="J178" s="59">
        <v>15783</v>
      </c>
      <c r="K178" s="59">
        <v>94792</v>
      </c>
      <c r="L178" s="59">
        <v>351439</v>
      </c>
      <c r="M178" s="59">
        <v>3522</v>
      </c>
      <c r="N178" s="59">
        <v>465536</v>
      </c>
      <c r="O178" s="63"/>
      <c r="P178" s="63">
        <f t="shared" si="5"/>
        <v>-465536</v>
      </c>
      <c r="Q178" s="50"/>
      <c r="R178" s="50"/>
      <c r="S178" s="69" t="s">
        <v>270</v>
      </c>
      <c r="T178" s="50"/>
      <c r="U178" s="52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50"/>
      <c r="EC178" s="50"/>
      <c r="ED178" s="50"/>
      <c r="EE178" s="50"/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0"/>
      <c r="GW178" s="50"/>
      <c r="GX178" s="50"/>
      <c r="GY178" s="50"/>
      <c r="GZ178" s="50"/>
      <c r="HA178" s="50"/>
    </row>
    <row r="179" s="51" customFormat="1" spans="1:209">
      <c r="A179" s="50"/>
      <c r="B179" s="50"/>
      <c r="C179" s="50"/>
      <c r="D179" s="50"/>
      <c r="E179" s="50"/>
      <c r="F179" s="50"/>
      <c r="G179" s="50"/>
      <c r="H179" s="60" t="s">
        <v>270</v>
      </c>
      <c r="I179" s="60" t="s">
        <v>427</v>
      </c>
      <c r="J179" s="59">
        <v>27098</v>
      </c>
      <c r="K179" s="59">
        <v>148514</v>
      </c>
      <c r="L179" s="59">
        <v>490482</v>
      </c>
      <c r="M179" s="59">
        <v>2671</v>
      </c>
      <c r="N179" s="59">
        <v>668765</v>
      </c>
      <c r="O179" s="63"/>
      <c r="P179" s="63">
        <f t="shared" si="5"/>
        <v>-668765</v>
      </c>
      <c r="Q179" s="50"/>
      <c r="R179" s="50"/>
      <c r="S179" s="69" t="s">
        <v>270</v>
      </c>
      <c r="T179" s="50"/>
      <c r="U179" s="52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50"/>
      <c r="DZ179" s="50"/>
      <c r="EA179" s="50"/>
      <c r="EB179" s="50"/>
      <c r="EC179" s="50"/>
      <c r="ED179" s="50"/>
      <c r="EE179" s="50"/>
      <c r="EF179" s="50"/>
      <c r="EG179" s="50"/>
      <c r="EH179" s="50"/>
      <c r="EI179" s="50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  <c r="FK179" s="50"/>
      <c r="FL179" s="50"/>
      <c r="FM179" s="50"/>
      <c r="FN179" s="50"/>
      <c r="FO179" s="50"/>
      <c r="FP179" s="50"/>
      <c r="FQ179" s="50"/>
      <c r="FR179" s="50"/>
      <c r="FS179" s="50"/>
      <c r="FT179" s="50"/>
      <c r="FU179" s="50"/>
      <c r="FV179" s="50"/>
      <c r="FW179" s="50"/>
      <c r="FX179" s="50"/>
      <c r="FY179" s="50"/>
      <c r="FZ179" s="50"/>
      <c r="GA179" s="50"/>
      <c r="GB179" s="50"/>
      <c r="GC179" s="50"/>
      <c r="GD179" s="50"/>
      <c r="GE179" s="50"/>
      <c r="GF179" s="50"/>
      <c r="GG179" s="50"/>
      <c r="GH179" s="50"/>
      <c r="GI179" s="50"/>
      <c r="GJ179" s="50"/>
      <c r="GK179" s="50"/>
      <c r="GL179" s="50"/>
      <c r="GM179" s="50"/>
      <c r="GN179" s="50"/>
      <c r="GO179" s="50"/>
      <c r="GP179" s="50"/>
      <c r="GQ179" s="50"/>
      <c r="GR179" s="50"/>
      <c r="GS179" s="50"/>
      <c r="GT179" s="50"/>
      <c r="GU179" s="50"/>
      <c r="GV179" s="50"/>
      <c r="GW179" s="50"/>
      <c r="GX179" s="50"/>
      <c r="GY179" s="50"/>
      <c r="GZ179" s="50"/>
      <c r="HA179" s="50"/>
    </row>
    <row r="180" s="51" customFormat="1" spans="1:209">
      <c r="A180" s="50"/>
      <c r="B180" s="50"/>
      <c r="C180" s="50"/>
      <c r="D180" s="50"/>
      <c r="E180" s="50"/>
      <c r="F180" s="50"/>
      <c r="G180" s="50"/>
      <c r="H180" s="60" t="s">
        <v>270</v>
      </c>
      <c r="I180" s="60" t="s">
        <v>428</v>
      </c>
      <c r="J180" s="59">
        <v>16356</v>
      </c>
      <c r="K180" s="59">
        <v>97237</v>
      </c>
      <c r="L180" s="59">
        <v>341326</v>
      </c>
      <c r="M180" s="59">
        <v>6416</v>
      </c>
      <c r="N180" s="59">
        <v>461335</v>
      </c>
      <c r="O180" s="63"/>
      <c r="P180" s="63">
        <f t="shared" si="5"/>
        <v>-461335</v>
      </c>
      <c r="Q180" s="50"/>
      <c r="R180" s="50"/>
      <c r="S180" s="69" t="s">
        <v>270</v>
      </c>
      <c r="T180" s="50"/>
      <c r="U180" s="52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</row>
    <row r="181" s="51" customFormat="1" spans="1:209">
      <c r="A181" s="50"/>
      <c r="B181" s="50"/>
      <c r="C181" s="50"/>
      <c r="D181" s="50"/>
      <c r="E181" s="50"/>
      <c r="F181" s="50"/>
      <c r="G181" s="50"/>
      <c r="H181" s="60" t="s">
        <v>270</v>
      </c>
      <c r="I181" s="60" t="s">
        <v>429</v>
      </c>
      <c r="J181" s="59">
        <v>4843</v>
      </c>
      <c r="K181" s="59">
        <v>25758</v>
      </c>
      <c r="L181" s="59">
        <v>112605</v>
      </c>
      <c r="M181" s="59">
        <v>814</v>
      </c>
      <c r="N181" s="59">
        <v>144020</v>
      </c>
      <c r="O181" s="63"/>
      <c r="P181" s="63">
        <f t="shared" si="5"/>
        <v>-144020</v>
      </c>
      <c r="Q181" s="50"/>
      <c r="R181" s="50"/>
      <c r="S181" s="69" t="s">
        <v>270</v>
      </c>
      <c r="T181" s="50"/>
      <c r="U181" s="52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</row>
    <row r="182" s="51" customFormat="1" spans="1:209">
      <c r="A182" s="50"/>
      <c r="B182" s="50"/>
      <c r="C182" s="50"/>
      <c r="D182" s="50"/>
      <c r="E182" s="50"/>
      <c r="F182" s="50"/>
      <c r="G182" s="50"/>
      <c r="H182" s="60" t="s">
        <v>270</v>
      </c>
      <c r="I182" s="60" t="s">
        <v>430</v>
      </c>
      <c r="J182" s="59">
        <v>5475</v>
      </c>
      <c r="K182" s="59">
        <v>34977</v>
      </c>
      <c r="L182" s="59">
        <v>177946</v>
      </c>
      <c r="M182" s="59">
        <v>6162</v>
      </c>
      <c r="N182" s="59">
        <v>224560</v>
      </c>
      <c r="O182" s="63"/>
      <c r="P182" s="63">
        <f t="shared" si="5"/>
        <v>-224560</v>
      </c>
      <c r="Q182" s="50"/>
      <c r="R182" s="50"/>
      <c r="S182" s="69" t="s">
        <v>270</v>
      </c>
      <c r="T182" s="50"/>
      <c r="U182" s="52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50"/>
      <c r="DZ182" s="50"/>
      <c r="EA182" s="50"/>
      <c r="EB182" s="50"/>
      <c r="EC182" s="50"/>
      <c r="ED182" s="50"/>
      <c r="EE182" s="50"/>
      <c r="EF182" s="50"/>
      <c r="EG182" s="50"/>
      <c r="EH182" s="50"/>
      <c r="EI182" s="50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  <c r="GO182" s="50"/>
      <c r="GP182" s="50"/>
      <c r="GQ182" s="50"/>
      <c r="GR182" s="50"/>
      <c r="GS182" s="50"/>
      <c r="GT182" s="50"/>
      <c r="GU182" s="50"/>
      <c r="GV182" s="50"/>
      <c r="GW182" s="50"/>
      <c r="GX182" s="50"/>
      <c r="GY182" s="50"/>
      <c r="GZ182" s="50"/>
      <c r="HA182" s="50"/>
    </row>
    <row r="183" s="51" customFormat="1" spans="1:209">
      <c r="A183" s="50"/>
      <c r="B183" s="50"/>
      <c r="C183" s="50"/>
      <c r="D183" s="50"/>
      <c r="E183" s="50"/>
      <c r="F183" s="50"/>
      <c r="G183" s="50"/>
      <c r="H183" s="60" t="s">
        <v>270</v>
      </c>
      <c r="I183" s="60" t="s">
        <v>431</v>
      </c>
      <c r="J183" s="59">
        <v>33023</v>
      </c>
      <c r="K183" s="59">
        <v>169609</v>
      </c>
      <c r="L183" s="59">
        <v>723558</v>
      </c>
      <c r="M183" s="59">
        <v>1587</v>
      </c>
      <c r="N183" s="59">
        <v>927777</v>
      </c>
      <c r="O183" s="63"/>
      <c r="P183" s="63">
        <f t="shared" si="5"/>
        <v>-927777</v>
      </c>
      <c r="Q183" s="50"/>
      <c r="R183" s="50"/>
      <c r="S183" s="69" t="s">
        <v>270</v>
      </c>
      <c r="T183" s="50"/>
      <c r="U183" s="52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</row>
    <row r="184" s="51" customFormat="1" spans="1:209">
      <c r="A184" s="50"/>
      <c r="B184" s="50"/>
      <c r="C184" s="50"/>
      <c r="D184" s="50"/>
      <c r="E184" s="50"/>
      <c r="F184" s="50"/>
      <c r="G184" s="50"/>
      <c r="H184" s="60" t="s">
        <v>270</v>
      </c>
      <c r="I184" s="60" t="s">
        <v>432</v>
      </c>
      <c r="J184" s="59">
        <v>5268</v>
      </c>
      <c r="K184" s="59">
        <v>27145</v>
      </c>
      <c r="L184" s="59">
        <v>134337</v>
      </c>
      <c r="M184" s="59">
        <v>3083</v>
      </c>
      <c r="N184" s="59">
        <v>169833</v>
      </c>
      <c r="O184" s="63"/>
      <c r="P184" s="63">
        <f t="shared" si="5"/>
        <v>-169833</v>
      </c>
      <c r="Q184" s="50"/>
      <c r="R184" s="50"/>
      <c r="S184" s="69" t="s">
        <v>270</v>
      </c>
      <c r="T184" s="50"/>
      <c r="U184" s="52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50"/>
      <c r="DZ184" s="50"/>
      <c r="EA184" s="50"/>
      <c r="EB184" s="50"/>
      <c r="EC184" s="50"/>
      <c r="ED184" s="50"/>
      <c r="EE184" s="50"/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</row>
    <row r="185" s="51" customFormat="1" spans="1:209">
      <c r="A185" s="50"/>
      <c r="B185" s="50"/>
      <c r="C185" s="50"/>
      <c r="D185" s="50"/>
      <c r="E185" s="50"/>
      <c r="F185" s="50"/>
      <c r="G185" s="50"/>
      <c r="H185" s="60" t="s">
        <v>270</v>
      </c>
      <c r="I185" s="60" t="s">
        <v>433</v>
      </c>
      <c r="J185" s="59">
        <v>3185</v>
      </c>
      <c r="K185" s="59">
        <v>16944</v>
      </c>
      <c r="L185" s="59">
        <v>64990</v>
      </c>
      <c r="M185" s="59">
        <v>504</v>
      </c>
      <c r="N185" s="59">
        <v>85623</v>
      </c>
      <c r="O185" s="63"/>
      <c r="P185" s="63">
        <f t="shared" si="5"/>
        <v>-85623</v>
      </c>
      <c r="Q185" s="50"/>
      <c r="R185" s="50"/>
      <c r="S185" s="69" t="s">
        <v>270</v>
      </c>
      <c r="T185" s="50"/>
      <c r="U185" s="52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50"/>
      <c r="DZ185" s="50"/>
      <c r="EA185" s="50"/>
      <c r="EB185" s="50"/>
      <c r="EC185" s="50"/>
      <c r="ED185" s="50"/>
      <c r="EE185" s="50"/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  <c r="FK185" s="50"/>
      <c r="FL185" s="50"/>
      <c r="FM185" s="50"/>
      <c r="FN185" s="50"/>
      <c r="FO185" s="50"/>
      <c r="FP185" s="50"/>
      <c r="FQ185" s="50"/>
      <c r="FR185" s="50"/>
      <c r="FS185" s="50"/>
      <c r="FT185" s="50"/>
      <c r="FU185" s="50"/>
      <c r="FV185" s="50"/>
      <c r="FW185" s="50"/>
      <c r="FX185" s="50"/>
      <c r="FY185" s="50"/>
      <c r="FZ185" s="50"/>
      <c r="GA185" s="50"/>
      <c r="GB185" s="50"/>
      <c r="GC185" s="50"/>
      <c r="GD185" s="50"/>
      <c r="GE185" s="50"/>
      <c r="GF185" s="50"/>
      <c r="GG185" s="50"/>
      <c r="GH185" s="50"/>
      <c r="GI185" s="50"/>
      <c r="GJ185" s="50"/>
      <c r="GK185" s="50"/>
      <c r="GL185" s="50"/>
      <c r="GM185" s="50"/>
      <c r="GN185" s="50"/>
      <c r="GO185" s="50"/>
      <c r="GP185" s="50"/>
      <c r="GQ185" s="50"/>
      <c r="GR185" s="50"/>
      <c r="GS185" s="50"/>
      <c r="GT185" s="50"/>
      <c r="GU185" s="50"/>
      <c r="GV185" s="50"/>
      <c r="GW185" s="50"/>
      <c r="GX185" s="50"/>
      <c r="GY185" s="50"/>
      <c r="GZ185" s="50"/>
      <c r="HA185" s="50"/>
    </row>
    <row r="186" s="51" customFormat="1" spans="1:209">
      <c r="A186" s="50"/>
      <c r="B186" s="50"/>
      <c r="C186" s="50"/>
      <c r="D186" s="50"/>
      <c r="E186" s="50"/>
      <c r="F186" s="50"/>
      <c r="G186" s="50"/>
      <c r="H186" s="60" t="s">
        <v>270</v>
      </c>
      <c r="I186" s="60" t="s">
        <v>434</v>
      </c>
      <c r="J186" s="59">
        <v>8266</v>
      </c>
      <c r="K186" s="59">
        <v>48444</v>
      </c>
      <c r="L186" s="59">
        <v>174023</v>
      </c>
      <c r="M186" s="59">
        <v>3564</v>
      </c>
      <c r="N186" s="59">
        <v>234297</v>
      </c>
      <c r="O186" s="63"/>
      <c r="P186" s="63">
        <f t="shared" si="5"/>
        <v>-234297</v>
      </c>
      <c r="Q186" s="50"/>
      <c r="R186" s="50"/>
      <c r="S186" s="69" t="s">
        <v>270</v>
      </c>
      <c r="T186" s="50"/>
      <c r="U186" s="52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50"/>
      <c r="DS186" s="50"/>
      <c r="DT186" s="50"/>
      <c r="DU186" s="50"/>
      <c r="DV186" s="50"/>
      <c r="DW186" s="50"/>
      <c r="DX186" s="50"/>
      <c r="DY186" s="50"/>
      <c r="DZ186" s="50"/>
      <c r="EA186" s="50"/>
      <c r="EB186" s="50"/>
      <c r="EC186" s="50"/>
      <c r="ED186" s="50"/>
      <c r="EE186" s="50"/>
      <c r="EF186" s="50"/>
      <c r="EG186" s="50"/>
      <c r="EH186" s="50"/>
      <c r="EI186" s="50"/>
      <c r="EJ186" s="50"/>
      <c r="EK186" s="50"/>
      <c r="EL186" s="50"/>
      <c r="EM186" s="50"/>
      <c r="EN186" s="50"/>
      <c r="EO186" s="50"/>
      <c r="EP186" s="50"/>
      <c r="EQ186" s="50"/>
      <c r="ER186" s="50"/>
      <c r="ES186" s="50"/>
      <c r="ET186" s="50"/>
      <c r="EU186" s="50"/>
      <c r="EV186" s="50"/>
      <c r="EW186" s="50"/>
      <c r="EX186" s="50"/>
      <c r="EY186" s="50"/>
      <c r="EZ186" s="50"/>
      <c r="FA186" s="50"/>
      <c r="FB186" s="50"/>
      <c r="FC186" s="50"/>
      <c r="FD186" s="50"/>
      <c r="FE186" s="50"/>
      <c r="FF186" s="50"/>
      <c r="FG186" s="50"/>
      <c r="FH186" s="50"/>
      <c r="FI186" s="50"/>
      <c r="FJ186" s="50"/>
      <c r="FK186" s="50"/>
      <c r="FL186" s="50"/>
      <c r="FM186" s="50"/>
      <c r="FN186" s="50"/>
      <c r="FO186" s="50"/>
      <c r="FP186" s="50"/>
      <c r="FQ186" s="50"/>
      <c r="FR186" s="50"/>
      <c r="FS186" s="50"/>
      <c r="FT186" s="50"/>
      <c r="FU186" s="50"/>
      <c r="FV186" s="50"/>
      <c r="FW186" s="50"/>
      <c r="FX186" s="50"/>
      <c r="FY186" s="50"/>
      <c r="FZ186" s="50"/>
      <c r="GA186" s="50"/>
      <c r="GB186" s="50"/>
      <c r="GC186" s="50"/>
      <c r="GD186" s="50"/>
      <c r="GE186" s="50"/>
      <c r="GF186" s="50"/>
      <c r="GG186" s="50"/>
      <c r="GH186" s="50"/>
      <c r="GI186" s="50"/>
      <c r="GJ186" s="50"/>
      <c r="GK186" s="50"/>
      <c r="GL186" s="50"/>
      <c r="GM186" s="50"/>
      <c r="GN186" s="50"/>
      <c r="GO186" s="50"/>
      <c r="GP186" s="50"/>
      <c r="GQ186" s="50"/>
      <c r="GR186" s="50"/>
      <c r="GS186" s="50"/>
      <c r="GT186" s="50"/>
      <c r="GU186" s="50"/>
      <c r="GV186" s="50"/>
      <c r="GW186" s="50"/>
      <c r="GX186" s="50"/>
      <c r="GY186" s="50"/>
      <c r="GZ186" s="50"/>
      <c r="HA186" s="50"/>
    </row>
    <row r="187" s="51" customFormat="1" spans="1:209">
      <c r="A187" s="50"/>
      <c r="B187" s="50"/>
      <c r="C187" s="50"/>
      <c r="D187" s="50"/>
      <c r="E187" s="50"/>
      <c r="F187" s="50"/>
      <c r="G187" s="50"/>
      <c r="H187" s="50"/>
      <c r="I187" s="50"/>
      <c r="J187" s="50">
        <v>3560239</v>
      </c>
      <c r="K187" s="50">
        <v>18326595</v>
      </c>
      <c r="L187" s="50">
        <v>79933350</v>
      </c>
      <c r="M187" s="50">
        <v>2234429</v>
      </c>
      <c r="N187" s="50">
        <v>104054613</v>
      </c>
      <c r="O187" s="50"/>
      <c r="P187" s="63">
        <f t="shared" si="5"/>
        <v>-104054613</v>
      </c>
      <c r="Q187" s="50">
        <v>57</v>
      </c>
      <c r="R187" s="50">
        <v>91</v>
      </c>
      <c r="S187" s="50"/>
      <c r="T187" s="50"/>
      <c r="U187" s="52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50"/>
      <c r="DS187" s="50"/>
      <c r="DT187" s="50"/>
      <c r="DU187" s="50"/>
      <c r="DV187" s="50"/>
      <c r="DW187" s="50"/>
      <c r="DX187" s="50"/>
      <c r="DY187" s="50"/>
      <c r="DZ187" s="50"/>
      <c r="EA187" s="50"/>
      <c r="EB187" s="50"/>
      <c r="EC187" s="50"/>
      <c r="ED187" s="50"/>
      <c r="EE187" s="50"/>
      <c r="EF187" s="50"/>
      <c r="EG187" s="50"/>
      <c r="EH187" s="50"/>
      <c r="EI187" s="50"/>
      <c r="EJ187" s="50"/>
      <c r="EK187" s="50"/>
      <c r="EL187" s="50"/>
      <c r="EM187" s="50"/>
      <c r="EN187" s="50"/>
      <c r="EO187" s="50"/>
      <c r="EP187" s="50"/>
      <c r="EQ187" s="50"/>
      <c r="ER187" s="50"/>
      <c r="ES187" s="50"/>
      <c r="ET187" s="50"/>
      <c r="EU187" s="50"/>
      <c r="EV187" s="50"/>
      <c r="EW187" s="50"/>
      <c r="EX187" s="50"/>
      <c r="EY187" s="50"/>
      <c r="EZ187" s="50"/>
      <c r="FA187" s="50"/>
      <c r="FB187" s="50"/>
      <c r="FC187" s="50"/>
      <c r="FD187" s="50"/>
      <c r="FE187" s="50"/>
      <c r="FF187" s="50"/>
      <c r="FG187" s="50"/>
      <c r="FH187" s="50"/>
      <c r="FI187" s="50"/>
      <c r="FJ187" s="50"/>
      <c r="FK187" s="50"/>
      <c r="FL187" s="50"/>
      <c r="FM187" s="50"/>
      <c r="FN187" s="50"/>
      <c r="FO187" s="50"/>
      <c r="FP187" s="50"/>
      <c r="FQ187" s="50"/>
      <c r="FR187" s="50"/>
      <c r="FS187" s="50"/>
      <c r="FT187" s="50"/>
      <c r="FU187" s="50"/>
      <c r="FV187" s="50"/>
      <c r="FW187" s="50"/>
      <c r="FX187" s="50"/>
      <c r="FY187" s="50"/>
      <c r="FZ187" s="50"/>
      <c r="GA187" s="50"/>
      <c r="GB187" s="50"/>
      <c r="GC187" s="50"/>
      <c r="GD187" s="50"/>
      <c r="GE187" s="50"/>
      <c r="GF187" s="50"/>
      <c r="GG187" s="50"/>
      <c r="GH187" s="50"/>
      <c r="GI187" s="50"/>
      <c r="GJ187" s="50"/>
      <c r="GK187" s="50"/>
      <c r="GL187" s="50"/>
      <c r="GM187" s="50"/>
      <c r="GN187" s="50"/>
      <c r="GO187" s="50"/>
      <c r="GP187" s="50"/>
      <c r="GQ187" s="50"/>
      <c r="GR187" s="50"/>
      <c r="GS187" s="50"/>
      <c r="GT187" s="50"/>
      <c r="GU187" s="50"/>
      <c r="GV187" s="50"/>
      <c r="GW187" s="50"/>
      <c r="GX187" s="50"/>
      <c r="GY187" s="50"/>
      <c r="GZ187" s="50"/>
      <c r="HA187" s="50"/>
    </row>
    <row r="188" s="51" customFormat="1" spans="1:209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>
        <v>208109226</v>
      </c>
      <c r="O188" s="50"/>
      <c r="P188" s="63">
        <f t="shared" si="5"/>
        <v>-208109226</v>
      </c>
      <c r="Q188" s="50"/>
      <c r="R188" s="50"/>
      <c r="S188" s="50"/>
      <c r="T188" s="50"/>
      <c r="U188" s="52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  <c r="DR188" s="50"/>
      <c r="DS188" s="50"/>
      <c r="DT188" s="50"/>
      <c r="DU188" s="50"/>
      <c r="DV188" s="50"/>
      <c r="DW188" s="50"/>
      <c r="DX188" s="50"/>
      <c r="DY188" s="50"/>
      <c r="DZ188" s="50"/>
      <c r="EA188" s="50"/>
      <c r="EB188" s="50"/>
      <c r="EC188" s="50"/>
      <c r="ED188" s="50"/>
      <c r="EE188" s="50"/>
      <c r="EF188" s="50"/>
      <c r="EG188" s="50"/>
      <c r="EH188" s="50"/>
      <c r="EI188" s="50"/>
      <c r="EJ188" s="50"/>
      <c r="EK188" s="50"/>
      <c r="EL188" s="50"/>
      <c r="EM188" s="50"/>
      <c r="EN188" s="50"/>
      <c r="EO188" s="50"/>
      <c r="EP188" s="50"/>
      <c r="EQ188" s="50"/>
      <c r="ER188" s="50"/>
      <c r="ES188" s="50"/>
      <c r="ET188" s="50"/>
      <c r="EU188" s="50"/>
      <c r="EV188" s="50"/>
      <c r="EW188" s="50"/>
      <c r="EX188" s="50"/>
      <c r="EY188" s="50"/>
      <c r="EZ188" s="50"/>
      <c r="FA188" s="50"/>
      <c r="FB188" s="50"/>
      <c r="FC188" s="50"/>
      <c r="FD188" s="50"/>
      <c r="FE188" s="50"/>
      <c r="FF188" s="50"/>
      <c r="FG188" s="50"/>
      <c r="FH188" s="50"/>
      <c r="FI188" s="50"/>
      <c r="FJ188" s="50"/>
      <c r="FK188" s="50"/>
      <c r="FL188" s="50"/>
      <c r="FM188" s="50"/>
      <c r="FN188" s="50"/>
      <c r="FO188" s="50"/>
      <c r="FP188" s="50"/>
      <c r="FQ188" s="50"/>
      <c r="FR188" s="50"/>
      <c r="FS188" s="50"/>
      <c r="FT188" s="50"/>
      <c r="FU188" s="50"/>
      <c r="FV188" s="50"/>
      <c r="FW188" s="50"/>
      <c r="FX188" s="50"/>
      <c r="FY188" s="50"/>
      <c r="FZ188" s="50"/>
      <c r="GA188" s="50"/>
      <c r="GB188" s="50"/>
      <c r="GC188" s="50"/>
      <c r="GD188" s="50"/>
      <c r="GE188" s="50"/>
      <c r="GF188" s="50"/>
      <c r="GG188" s="50"/>
      <c r="GH188" s="50"/>
      <c r="GI188" s="50"/>
      <c r="GJ188" s="50"/>
      <c r="GK188" s="50"/>
      <c r="GL188" s="50"/>
      <c r="GM188" s="50"/>
      <c r="GN188" s="50"/>
      <c r="GO188" s="50"/>
      <c r="GP188" s="50"/>
      <c r="GQ188" s="50"/>
      <c r="GR188" s="50"/>
      <c r="GS188" s="50"/>
      <c r="GT188" s="50"/>
      <c r="GU188" s="50"/>
      <c r="GV188" s="50"/>
      <c r="GW188" s="50"/>
      <c r="GX188" s="50"/>
      <c r="GY188" s="50"/>
      <c r="GZ188" s="50"/>
      <c r="HA188" s="50"/>
    </row>
    <row r="189" s="51" customFormat="1" spans="1:209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>
        <v>69980818</v>
      </c>
      <c r="O189" s="50"/>
      <c r="P189" s="63">
        <f t="shared" si="5"/>
        <v>-69980818</v>
      </c>
      <c r="Q189" s="50"/>
      <c r="R189" s="50"/>
      <c r="S189" s="50"/>
      <c r="T189" s="50"/>
      <c r="U189" s="52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50"/>
      <c r="DZ189" s="50"/>
      <c r="EA189" s="50"/>
      <c r="EB189" s="50"/>
      <c r="EC189" s="50"/>
      <c r="ED189" s="50"/>
      <c r="EE189" s="50"/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</row>
  </sheetData>
  <autoFilter ref="A2:HA189">
    <extLst/>
  </autoFilter>
  <mergeCells count="3">
    <mergeCell ref="A1:F1"/>
    <mergeCell ref="H1:N1"/>
    <mergeCell ref="U1:U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opLeftCell="A13" workbookViewId="0">
      <selection activeCell="I3" sqref="I3:I31"/>
    </sheetView>
  </sheetViews>
  <sheetFormatPr defaultColWidth="7.775" defaultRowHeight="13.5"/>
  <cols>
    <col min="1" max="1" width="11.25" style="43" customWidth="1"/>
    <col min="2" max="2" width="10" style="43" customWidth="1"/>
    <col min="3" max="3" width="7.775" style="43"/>
    <col min="4" max="4" width="9.25" style="43"/>
    <col min="5" max="6" width="7.775" style="43"/>
    <col min="7" max="7" width="10.875" style="43" customWidth="1"/>
    <col min="8" max="16358" width="7.775" style="43"/>
  </cols>
  <sheetData>
    <row r="1" s="43" customFormat="1" ht="12.75" spans="1:4">
      <c r="A1" s="44" t="s">
        <v>1</v>
      </c>
      <c r="B1" s="44"/>
      <c r="C1" s="44" t="s">
        <v>5</v>
      </c>
      <c r="D1" s="43" t="s">
        <v>435</v>
      </c>
    </row>
    <row r="2" s="43" customFormat="1" ht="12.75" spans="1:4">
      <c r="A2" s="44"/>
      <c r="B2" s="44"/>
      <c r="C2" s="44" t="s">
        <v>436</v>
      </c>
      <c r="D2" s="43">
        <v>89259238</v>
      </c>
    </row>
    <row r="3" s="43" customFormat="1" ht="15" spans="1:9">
      <c r="A3" s="44" t="s">
        <v>245</v>
      </c>
      <c r="B3" s="44" t="str">
        <f>"  "&amp;A3</f>
        <v>  荔湾区</v>
      </c>
      <c r="C3" s="44" t="s">
        <v>437</v>
      </c>
      <c r="D3" s="43">
        <v>915760</v>
      </c>
      <c r="G3" s="45" t="s">
        <v>162</v>
      </c>
      <c r="H3" s="46">
        <v>245150</v>
      </c>
      <c r="I3" s="43">
        <f>VLOOKUP(G3,B:D,3,0)</f>
        <v>245150</v>
      </c>
    </row>
    <row r="4" s="43" customFormat="1" ht="15" spans="1:9">
      <c r="A4" s="44" t="s">
        <v>246</v>
      </c>
      <c r="B4" s="44" t="str">
        <f t="shared" ref="B4:B35" si="0">"  "&amp;A4</f>
        <v>  越秀区</v>
      </c>
      <c r="C4" s="44" t="s">
        <v>438</v>
      </c>
      <c r="D4" s="43">
        <v>751978</v>
      </c>
      <c r="G4" s="45" t="s">
        <v>163</v>
      </c>
      <c r="H4" s="46">
        <v>253974</v>
      </c>
      <c r="I4" s="43">
        <f t="shared" ref="I4:I31" si="1">VLOOKUP(G4,B:D,3,0)</f>
        <v>253974</v>
      </c>
    </row>
    <row r="5" s="43" customFormat="1" ht="15" spans="1:9">
      <c r="A5" s="44" t="s">
        <v>248</v>
      </c>
      <c r="B5" s="44" t="str">
        <f t="shared" si="0"/>
        <v>  海珠区</v>
      </c>
      <c r="C5" s="44" t="s">
        <v>439</v>
      </c>
      <c r="D5" s="43">
        <v>1408092</v>
      </c>
      <c r="G5" s="45" t="s">
        <v>164</v>
      </c>
      <c r="H5" s="46">
        <v>192701</v>
      </c>
      <c r="I5" s="43">
        <f t="shared" si="1"/>
        <v>192701</v>
      </c>
    </row>
    <row r="6" s="43" customFormat="1" ht="15" spans="1:9">
      <c r="A6" s="44" t="s">
        <v>250</v>
      </c>
      <c r="B6" s="44" t="str">
        <f t="shared" si="0"/>
        <v>  天河区</v>
      </c>
      <c r="C6" s="44" t="s">
        <v>440</v>
      </c>
      <c r="D6" s="43">
        <v>1752622</v>
      </c>
      <c r="G6" s="45" t="s">
        <v>165</v>
      </c>
      <c r="H6" s="46">
        <v>551138</v>
      </c>
      <c r="I6" s="43">
        <f t="shared" si="1"/>
        <v>551138</v>
      </c>
    </row>
    <row r="7" s="43" customFormat="1" ht="15" spans="1:9">
      <c r="A7" s="44" t="s">
        <v>252</v>
      </c>
      <c r="B7" s="44" t="str">
        <f t="shared" si="0"/>
        <v>  白云区</v>
      </c>
      <c r="C7" s="44" t="s">
        <v>441</v>
      </c>
      <c r="D7" s="43">
        <v>2947313</v>
      </c>
      <c r="G7" s="45" t="s">
        <v>166</v>
      </c>
      <c r="H7" s="46">
        <v>446805</v>
      </c>
      <c r="I7" s="43">
        <f t="shared" si="1"/>
        <v>446805</v>
      </c>
    </row>
    <row r="8" s="43" customFormat="1" ht="15" spans="1:9">
      <c r="A8" s="44" t="s">
        <v>254</v>
      </c>
      <c r="B8" s="44" t="str">
        <f t="shared" si="0"/>
        <v>  黄埔区</v>
      </c>
      <c r="C8" s="44" t="s">
        <v>442</v>
      </c>
      <c r="D8" s="43">
        <v>977833</v>
      </c>
      <c r="G8" s="45" t="s">
        <v>167</v>
      </c>
      <c r="H8" s="46">
        <v>620486</v>
      </c>
      <c r="I8" s="43">
        <f t="shared" si="1"/>
        <v>620486</v>
      </c>
    </row>
    <row r="9" s="43" customFormat="1" ht="15" spans="1:9">
      <c r="A9" s="44" t="s">
        <v>255</v>
      </c>
      <c r="B9" s="44" t="str">
        <f t="shared" si="0"/>
        <v>  番禺区</v>
      </c>
      <c r="C9" s="44" t="s">
        <v>443</v>
      </c>
      <c r="D9" s="43">
        <v>2081533</v>
      </c>
      <c r="G9" s="45" t="s">
        <v>168</v>
      </c>
      <c r="H9" s="46">
        <v>170665</v>
      </c>
      <c r="I9" s="43">
        <f t="shared" si="1"/>
        <v>170665</v>
      </c>
    </row>
    <row r="10" s="43" customFormat="1" ht="15" spans="1:9">
      <c r="A10" s="44" t="s">
        <v>256</v>
      </c>
      <c r="B10" s="44" t="str">
        <f t="shared" si="0"/>
        <v>  花都区</v>
      </c>
      <c r="C10" s="44" t="s">
        <v>444</v>
      </c>
      <c r="D10" s="43">
        <v>1219241</v>
      </c>
      <c r="G10" s="45" t="s">
        <v>169</v>
      </c>
      <c r="H10" s="46">
        <v>1025369</v>
      </c>
      <c r="I10" s="43">
        <f t="shared" si="1"/>
        <v>1025369</v>
      </c>
    </row>
    <row r="11" s="43" customFormat="1" ht="15" spans="1:9">
      <c r="A11" s="44" t="s">
        <v>258</v>
      </c>
      <c r="B11" s="44" t="str">
        <f t="shared" si="0"/>
        <v>  南沙区</v>
      </c>
      <c r="C11" s="44" t="s">
        <v>445</v>
      </c>
      <c r="D11" s="43">
        <v>651341</v>
      </c>
      <c r="G11" s="45" t="s">
        <v>170</v>
      </c>
      <c r="H11" s="46">
        <v>744957</v>
      </c>
      <c r="I11" s="43">
        <f t="shared" si="1"/>
        <v>744957</v>
      </c>
    </row>
    <row r="12" s="43" customFormat="1" ht="15" spans="1:9">
      <c r="A12" s="44" t="s">
        <v>262</v>
      </c>
      <c r="B12" s="44" t="str">
        <f t="shared" si="0"/>
        <v>  从化区</v>
      </c>
      <c r="C12" s="44" t="s">
        <v>446</v>
      </c>
      <c r="D12" s="43">
        <v>475807</v>
      </c>
      <c r="G12" s="45" t="s">
        <v>171</v>
      </c>
      <c r="H12" s="46">
        <v>275596</v>
      </c>
      <c r="I12" s="43">
        <f t="shared" si="1"/>
        <v>275596</v>
      </c>
    </row>
    <row r="13" s="43" customFormat="1" ht="15" spans="1:9">
      <c r="A13" s="44" t="s">
        <v>260</v>
      </c>
      <c r="B13" s="44" t="str">
        <f t="shared" si="0"/>
        <v>  增城区</v>
      </c>
      <c r="C13" s="44" t="s">
        <v>447</v>
      </c>
      <c r="D13" s="43">
        <v>1037619</v>
      </c>
      <c r="G13" s="45" t="s">
        <v>172</v>
      </c>
      <c r="H13" s="46">
        <v>431264</v>
      </c>
      <c r="I13" s="43">
        <f t="shared" si="1"/>
        <v>431264</v>
      </c>
    </row>
    <row r="14" s="43" customFormat="1" ht="15" spans="1:9">
      <c r="A14" s="44" t="s">
        <v>264</v>
      </c>
      <c r="B14" s="47" t="str">
        <f t="shared" si="0"/>
        <v>  武江区</v>
      </c>
      <c r="C14" s="44" t="s">
        <v>448</v>
      </c>
      <c r="D14" s="43">
        <v>253974</v>
      </c>
      <c r="G14" s="45" t="s">
        <v>173</v>
      </c>
      <c r="H14" s="46">
        <v>212622</v>
      </c>
      <c r="I14" s="43">
        <f t="shared" si="1"/>
        <v>212622</v>
      </c>
    </row>
    <row r="15" s="43" customFormat="1" ht="15" spans="1:9">
      <c r="A15" s="44" t="s">
        <v>266</v>
      </c>
      <c r="B15" s="48" t="s">
        <v>162</v>
      </c>
      <c r="C15" s="44" t="s">
        <v>449</v>
      </c>
      <c r="D15" s="43">
        <v>245150</v>
      </c>
      <c r="G15" s="45" t="s">
        <v>174</v>
      </c>
      <c r="H15" s="46">
        <v>319607</v>
      </c>
      <c r="I15" s="43">
        <f t="shared" si="1"/>
        <v>319607</v>
      </c>
    </row>
    <row r="16" s="43" customFormat="1" ht="15" spans="1:9">
      <c r="A16" s="44" t="s">
        <v>268</v>
      </c>
      <c r="B16" s="47" t="str">
        <f t="shared" si="0"/>
        <v>  曲江区</v>
      </c>
      <c r="C16" s="44" t="s">
        <v>450</v>
      </c>
      <c r="D16" s="43">
        <v>192701</v>
      </c>
      <c r="G16" s="45" t="s">
        <v>175</v>
      </c>
      <c r="H16" s="46">
        <v>650822</v>
      </c>
      <c r="I16" s="43">
        <f t="shared" si="1"/>
        <v>650822</v>
      </c>
    </row>
    <row r="17" s="43" customFormat="1" ht="15" spans="1:9">
      <c r="A17" s="44" t="s">
        <v>257</v>
      </c>
      <c r="B17" s="44" t="str">
        <f t="shared" si="0"/>
        <v>  始兴县</v>
      </c>
      <c r="C17" s="44" t="s">
        <v>451</v>
      </c>
      <c r="D17" s="43">
        <v>128153</v>
      </c>
      <c r="G17" s="45" t="s">
        <v>176</v>
      </c>
      <c r="H17" s="46">
        <v>893200</v>
      </c>
      <c r="I17" s="43">
        <f t="shared" si="1"/>
        <v>893200</v>
      </c>
    </row>
    <row r="18" s="43" customFormat="1" ht="15" spans="1:9">
      <c r="A18" s="44" t="s">
        <v>259</v>
      </c>
      <c r="B18" s="44" t="str">
        <f t="shared" si="0"/>
        <v>  仁化县</v>
      </c>
      <c r="C18" s="44" t="s">
        <v>452</v>
      </c>
      <c r="D18" s="43">
        <v>120986</v>
      </c>
      <c r="G18" s="45" t="s">
        <v>177</v>
      </c>
      <c r="H18" s="46">
        <v>290798</v>
      </c>
      <c r="I18" s="43">
        <f t="shared" si="1"/>
        <v>290798</v>
      </c>
    </row>
    <row r="19" s="43" customFormat="1" ht="15" spans="1:9">
      <c r="A19" s="44" t="s">
        <v>261</v>
      </c>
      <c r="B19" s="44" t="str">
        <f t="shared" si="0"/>
        <v>  翁源县</v>
      </c>
      <c r="C19" s="44" t="s">
        <v>453</v>
      </c>
      <c r="D19" s="43">
        <v>203502</v>
      </c>
      <c r="G19" s="45" t="s">
        <v>178</v>
      </c>
      <c r="H19" s="46">
        <v>370105</v>
      </c>
      <c r="I19" s="43">
        <f t="shared" si="1"/>
        <v>370105</v>
      </c>
    </row>
    <row r="20" s="43" customFormat="1" ht="15" spans="1:9">
      <c r="A20" s="44" t="s">
        <v>263</v>
      </c>
      <c r="B20" s="44" t="str">
        <f t="shared" si="0"/>
        <v>  乳源瑶族自治县</v>
      </c>
      <c r="C20" s="44" t="s">
        <v>454</v>
      </c>
      <c r="D20" s="43">
        <v>120021</v>
      </c>
      <c r="G20" s="45" t="s">
        <v>179</v>
      </c>
      <c r="H20" s="46">
        <v>300172</v>
      </c>
      <c r="I20" s="43">
        <f t="shared" si="1"/>
        <v>300172</v>
      </c>
    </row>
    <row r="21" s="43" customFormat="1" ht="15" spans="1:9">
      <c r="A21" s="44" t="s">
        <v>265</v>
      </c>
      <c r="B21" s="44" t="str">
        <f t="shared" si="0"/>
        <v>  新丰县</v>
      </c>
      <c r="C21" s="44" t="s">
        <v>455</v>
      </c>
      <c r="D21" s="43">
        <v>126073</v>
      </c>
      <c r="G21" s="45" t="s">
        <v>180</v>
      </c>
      <c r="H21" s="46">
        <v>468130</v>
      </c>
      <c r="I21" s="43">
        <f t="shared" si="1"/>
        <v>468130</v>
      </c>
    </row>
    <row r="22" s="43" customFormat="1" ht="15" spans="1:9">
      <c r="A22" s="44" t="s">
        <v>267</v>
      </c>
      <c r="B22" s="44" t="str">
        <f t="shared" si="0"/>
        <v>  乐昌市</v>
      </c>
      <c r="C22" s="44" t="s">
        <v>456</v>
      </c>
      <c r="D22" s="43">
        <v>240981</v>
      </c>
      <c r="G22" s="45" t="s">
        <v>181</v>
      </c>
      <c r="H22" s="46">
        <v>553451</v>
      </c>
      <c r="I22" s="43">
        <f t="shared" si="1"/>
        <v>553451</v>
      </c>
    </row>
    <row r="23" s="43" customFormat="1" ht="15" spans="1:9">
      <c r="A23" s="44" t="s">
        <v>269</v>
      </c>
      <c r="B23" s="44" t="str">
        <f t="shared" si="0"/>
        <v>  南雄市</v>
      </c>
      <c r="C23" s="44" t="s">
        <v>457</v>
      </c>
      <c r="D23" s="43">
        <v>229043</v>
      </c>
      <c r="G23" s="45" t="s">
        <v>182</v>
      </c>
      <c r="H23" s="46">
        <v>320108</v>
      </c>
      <c r="I23" s="43">
        <f t="shared" si="1"/>
        <v>320108</v>
      </c>
    </row>
    <row r="24" s="43" customFormat="1" ht="15" spans="1:9">
      <c r="A24" s="44" t="s">
        <v>275</v>
      </c>
      <c r="B24" s="44" t="str">
        <f t="shared" si="0"/>
        <v>  罗湖区</v>
      </c>
      <c r="C24" s="44" t="s">
        <v>458</v>
      </c>
      <c r="D24" s="43">
        <v>872410</v>
      </c>
      <c r="G24" s="49" t="s">
        <v>183</v>
      </c>
      <c r="H24" s="46">
        <v>744522</v>
      </c>
      <c r="I24" s="43">
        <f t="shared" si="1"/>
        <v>744522</v>
      </c>
    </row>
    <row r="25" s="43" customFormat="1" ht="15" spans="1:9">
      <c r="A25" s="44" t="s">
        <v>277</v>
      </c>
      <c r="B25" s="44" t="str">
        <f t="shared" si="0"/>
        <v>  福田区</v>
      </c>
      <c r="C25" s="44" t="s">
        <v>459</v>
      </c>
      <c r="D25" s="43">
        <v>1200215</v>
      </c>
      <c r="G25" s="45" t="s">
        <v>184</v>
      </c>
      <c r="H25" s="46">
        <v>400500</v>
      </c>
      <c r="I25" s="43">
        <f t="shared" si="1"/>
        <v>400500</v>
      </c>
    </row>
    <row r="26" s="43" customFormat="1" ht="15" spans="1:9">
      <c r="A26" s="44" t="s">
        <v>279</v>
      </c>
      <c r="B26" s="44" t="str">
        <f t="shared" si="0"/>
        <v>  南山区</v>
      </c>
      <c r="C26" s="44" t="s">
        <v>460</v>
      </c>
      <c r="D26" s="43">
        <v>1408220</v>
      </c>
      <c r="G26" s="45" t="s">
        <v>185</v>
      </c>
      <c r="H26" s="46">
        <v>401060</v>
      </c>
      <c r="I26" s="43">
        <f t="shared" si="1"/>
        <v>401060</v>
      </c>
    </row>
    <row r="27" s="43" customFormat="1" ht="15" spans="1:9">
      <c r="A27" s="44" t="s">
        <v>280</v>
      </c>
      <c r="B27" s="44" t="str">
        <f t="shared" si="0"/>
        <v>  宝安区</v>
      </c>
      <c r="C27" s="44" t="s">
        <v>461</v>
      </c>
      <c r="D27" s="43">
        <v>3656929</v>
      </c>
      <c r="G27" s="45" t="s">
        <v>186</v>
      </c>
      <c r="H27" s="46">
        <v>815538</v>
      </c>
      <c r="I27" s="43">
        <f t="shared" si="1"/>
        <v>815538</v>
      </c>
    </row>
    <row r="28" s="43" customFormat="1" ht="15" spans="1:9">
      <c r="A28" s="44" t="s">
        <v>281</v>
      </c>
      <c r="B28" s="44" t="str">
        <f t="shared" si="0"/>
        <v>  龙岗区</v>
      </c>
      <c r="C28" s="44" t="s">
        <v>462</v>
      </c>
      <c r="D28" s="43">
        <v>3240775</v>
      </c>
      <c r="G28" s="45" t="s">
        <v>187</v>
      </c>
      <c r="H28" s="46">
        <v>626061</v>
      </c>
      <c r="I28" s="43">
        <f t="shared" si="1"/>
        <v>626061</v>
      </c>
    </row>
    <row r="29" s="43" customFormat="1" ht="15" spans="1:9">
      <c r="A29" s="44" t="s">
        <v>283</v>
      </c>
      <c r="B29" s="44" t="str">
        <f t="shared" si="0"/>
        <v>  盐田区</v>
      </c>
      <c r="C29" s="44" t="s">
        <v>463</v>
      </c>
      <c r="D29" s="43">
        <v>162285</v>
      </c>
      <c r="G29" s="45" t="s">
        <v>188</v>
      </c>
      <c r="H29" s="46">
        <v>601991</v>
      </c>
      <c r="I29" s="43">
        <f t="shared" si="1"/>
        <v>601991</v>
      </c>
    </row>
    <row r="30" s="43" customFormat="1" ht="15" spans="1:9">
      <c r="A30" s="44" t="s">
        <v>285</v>
      </c>
      <c r="B30" s="44" t="str">
        <f t="shared" si="0"/>
        <v>  龙华区</v>
      </c>
      <c r="C30" s="44" t="s">
        <v>464</v>
      </c>
      <c r="D30" s="43">
        <v>2059503</v>
      </c>
      <c r="G30" s="45" t="s">
        <v>189</v>
      </c>
      <c r="H30" s="46">
        <v>267092</v>
      </c>
      <c r="I30" s="43">
        <f t="shared" si="1"/>
        <v>267092</v>
      </c>
    </row>
    <row r="31" s="43" customFormat="1" ht="15" spans="1:9">
      <c r="A31" s="44" t="s">
        <v>287</v>
      </c>
      <c r="B31" s="44" t="str">
        <f t="shared" si="0"/>
        <v>  坪山区</v>
      </c>
      <c r="C31" s="44" t="s">
        <v>465</v>
      </c>
      <c r="D31" s="43">
        <v>430171</v>
      </c>
      <c r="G31" s="45" t="s">
        <v>190</v>
      </c>
      <c r="H31" s="46">
        <v>144665</v>
      </c>
      <c r="I31" s="43">
        <f t="shared" si="1"/>
        <v>144665</v>
      </c>
    </row>
    <row r="32" s="43" customFormat="1" ht="12.75" spans="1:4">
      <c r="A32" s="44" t="s">
        <v>289</v>
      </c>
      <c r="B32" s="44" t="str">
        <f t="shared" si="0"/>
        <v>  光明区</v>
      </c>
      <c r="C32" s="44" t="s">
        <v>466</v>
      </c>
      <c r="D32" s="43">
        <v>897863</v>
      </c>
    </row>
    <row r="33" s="43" customFormat="1" ht="12.75" spans="1:4">
      <c r="A33" s="44" t="s">
        <v>292</v>
      </c>
      <c r="B33" s="44" t="str">
        <f t="shared" si="0"/>
        <v>  香洲区</v>
      </c>
      <c r="C33" s="44" t="s">
        <v>467</v>
      </c>
      <c r="D33" s="43">
        <v>1049493</v>
      </c>
    </row>
    <row r="34" s="43" customFormat="1" ht="12.75" spans="1:4">
      <c r="A34" s="44" t="s">
        <v>293</v>
      </c>
      <c r="B34" s="44" t="str">
        <f t="shared" si="0"/>
        <v>  斗门区</v>
      </c>
      <c r="C34" s="44" t="s">
        <v>468</v>
      </c>
      <c r="D34" s="43">
        <v>449469</v>
      </c>
    </row>
    <row r="35" s="43" customFormat="1" ht="12.75" spans="1:4">
      <c r="A35" s="44" t="s">
        <v>295</v>
      </c>
      <c r="B35" s="44" t="str">
        <f t="shared" si="0"/>
        <v>  金湾区</v>
      </c>
      <c r="C35" s="44" t="s">
        <v>469</v>
      </c>
      <c r="D35" s="43">
        <v>333862</v>
      </c>
    </row>
    <row r="36" s="43" customFormat="1" ht="12.75" spans="1:4">
      <c r="A36" s="44" t="s">
        <v>297</v>
      </c>
      <c r="B36" s="47" t="str">
        <f t="shared" ref="B36:B67" si="2">"  "&amp;A36</f>
        <v>  龙湖区</v>
      </c>
      <c r="C36" s="44" t="s">
        <v>470</v>
      </c>
      <c r="D36" s="43">
        <v>446805</v>
      </c>
    </row>
    <row r="37" s="43" customFormat="1" ht="12.75" spans="1:4">
      <c r="A37" s="44" t="s">
        <v>299</v>
      </c>
      <c r="B37" s="47" t="str">
        <f t="shared" si="2"/>
        <v>  金平区</v>
      </c>
      <c r="C37" s="44" t="s">
        <v>471</v>
      </c>
      <c r="D37" s="43">
        <v>551138</v>
      </c>
    </row>
    <row r="38" s="43" customFormat="1" ht="12.75" spans="1:4">
      <c r="A38" s="44" t="s">
        <v>300</v>
      </c>
      <c r="B38" s="47" t="str">
        <f t="shared" si="2"/>
        <v>  濠江区</v>
      </c>
      <c r="C38" s="44" t="s">
        <v>472</v>
      </c>
      <c r="D38" s="43">
        <v>170665</v>
      </c>
    </row>
    <row r="39" s="43" customFormat="1" ht="12.75" spans="1:4">
      <c r="A39" s="44" t="s">
        <v>301</v>
      </c>
      <c r="B39" s="47" t="str">
        <f t="shared" si="2"/>
        <v>  潮阳区</v>
      </c>
      <c r="C39" s="44" t="s">
        <v>473</v>
      </c>
      <c r="D39" s="43">
        <v>1025369</v>
      </c>
    </row>
    <row r="40" s="43" customFormat="1" ht="12.75" spans="1:4">
      <c r="A40" s="44" t="s">
        <v>303</v>
      </c>
      <c r="B40" s="47" t="str">
        <f t="shared" si="2"/>
        <v>  潮南区</v>
      </c>
      <c r="C40" s="44" t="s">
        <v>474</v>
      </c>
      <c r="D40" s="43">
        <v>744957</v>
      </c>
    </row>
    <row r="41" s="43" customFormat="1" ht="12.75" spans="1:4">
      <c r="A41" s="44" t="s">
        <v>305</v>
      </c>
      <c r="B41" s="47" t="str">
        <f t="shared" si="2"/>
        <v>  澄海区</v>
      </c>
      <c r="C41" s="44" t="s">
        <v>475</v>
      </c>
      <c r="D41" s="43">
        <v>620486</v>
      </c>
    </row>
    <row r="42" s="43" customFormat="1" ht="12.75" spans="1:4">
      <c r="A42" s="44" t="s">
        <v>271</v>
      </c>
      <c r="B42" s="44" t="str">
        <f t="shared" si="2"/>
        <v>  南澳县</v>
      </c>
      <c r="C42" s="44" t="s">
        <v>476</v>
      </c>
      <c r="D42" s="43">
        <v>46196</v>
      </c>
    </row>
    <row r="43" s="43" customFormat="1" ht="12.75" spans="1:4">
      <c r="A43" s="44" t="s">
        <v>367</v>
      </c>
      <c r="B43" s="44" t="str">
        <f t="shared" si="2"/>
        <v>  禅城区</v>
      </c>
      <c r="C43" s="44" t="s">
        <v>477</v>
      </c>
      <c r="D43" s="43">
        <v>1019663</v>
      </c>
    </row>
    <row r="44" s="43" customFormat="1" ht="12.75" spans="1:4">
      <c r="A44" s="44" t="s">
        <v>368</v>
      </c>
      <c r="B44" s="44" t="str">
        <f t="shared" si="2"/>
        <v>  南海区</v>
      </c>
      <c r="C44" s="44" t="s">
        <v>478</v>
      </c>
      <c r="D44" s="43">
        <v>2802607</v>
      </c>
    </row>
    <row r="45" s="43" customFormat="1" ht="12.75" spans="1:4">
      <c r="A45" s="44" t="s">
        <v>369</v>
      </c>
      <c r="B45" s="44" t="str">
        <f t="shared" si="2"/>
        <v>  顺德区</v>
      </c>
      <c r="C45" s="44" t="s">
        <v>479</v>
      </c>
      <c r="D45" s="43">
        <v>2467701</v>
      </c>
    </row>
    <row r="46" s="43" customFormat="1" ht="12.75" spans="1:4">
      <c r="A46" s="44" t="s">
        <v>370</v>
      </c>
      <c r="B46" s="44" t="str">
        <f t="shared" si="2"/>
        <v>  三水区</v>
      </c>
      <c r="C46" s="44" t="s">
        <v>480</v>
      </c>
      <c r="D46" s="43">
        <v>594916</v>
      </c>
    </row>
    <row r="47" s="43" customFormat="1" ht="12.75" spans="1:4">
      <c r="A47" s="44" t="s">
        <v>371</v>
      </c>
      <c r="B47" s="44" t="str">
        <f t="shared" si="2"/>
        <v>  高明区</v>
      </c>
      <c r="C47" s="44" t="s">
        <v>481</v>
      </c>
      <c r="D47" s="43">
        <v>340897</v>
      </c>
    </row>
    <row r="48" s="43" customFormat="1" ht="12.75" spans="1:4">
      <c r="A48" s="44" t="s">
        <v>358</v>
      </c>
      <c r="B48" s="44" t="str">
        <f t="shared" si="2"/>
        <v>  蓬江区</v>
      </c>
      <c r="C48" s="44" t="s">
        <v>482</v>
      </c>
      <c r="D48" s="43">
        <v>614730</v>
      </c>
    </row>
    <row r="49" s="43" customFormat="1" ht="12.75" spans="1:4">
      <c r="A49" s="44" t="s">
        <v>359</v>
      </c>
      <c r="B49" s="44" t="str">
        <f t="shared" si="2"/>
        <v>  江海区</v>
      </c>
      <c r="C49" s="44" t="s">
        <v>483</v>
      </c>
      <c r="D49" s="43">
        <v>265532</v>
      </c>
    </row>
    <row r="50" s="43" customFormat="1" ht="12.75" spans="1:4">
      <c r="A50" s="44" t="s">
        <v>360</v>
      </c>
      <c r="B50" s="44" t="str">
        <f t="shared" si="2"/>
        <v>  新会区</v>
      </c>
      <c r="C50" s="44" t="s">
        <v>484</v>
      </c>
      <c r="D50" s="43">
        <v>650576</v>
      </c>
    </row>
    <row r="51" s="43" customFormat="1" ht="12.75" spans="1:4">
      <c r="A51" s="44" t="s">
        <v>273</v>
      </c>
      <c r="B51" s="44" t="str">
        <f t="shared" si="2"/>
        <v>  台山市</v>
      </c>
      <c r="C51" s="44" t="s">
        <v>485</v>
      </c>
      <c r="D51" s="43">
        <v>649594</v>
      </c>
    </row>
    <row r="52" s="43" customFormat="1" ht="12.75" spans="1:4">
      <c r="A52" s="44" t="s">
        <v>274</v>
      </c>
      <c r="B52" s="44" t="str">
        <f t="shared" si="2"/>
        <v>  开平市</v>
      </c>
      <c r="C52" s="44" t="s">
        <v>486</v>
      </c>
      <c r="D52" s="43">
        <v>527010</v>
      </c>
    </row>
    <row r="53" s="43" customFormat="1" ht="12.75" spans="1:4">
      <c r="A53" s="44" t="s">
        <v>276</v>
      </c>
      <c r="B53" s="44" t="str">
        <f t="shared" si="2"/>
        <v>  鹤山市</v>
      </c>
      <c r="C53" s="44" t="s">
        <v>487</v>
      </c>
      <c r="D53" s="43">
        <v>381458</v>
      </c>
    </row>
    <row r="54" s="43" customFormat="1" ht="12.75" spans="1:4">
      <c r="A54" s="44" t="s">
        <v>278</v>
      </c>
      <c r="B54" s="44" t="str">
        <f t="shared" si="2"/>
        <v>  恩平市</v>
      </c>
      <c r="C54" s="44" t="s">
        <v>488</v>
      </c>
      <c r="D54" s="43">
        <v>343851</v>
      </c>
    </row>
    <row r="55" s="43" customFormat="1" ht="12.75" spans="1:4">
      <c r="A55" s="44" t="s">
        <v>339</v>
      </c>
      <c r="B55" s="47" t="str">
        <f t="shared" si="2"/>
        <v>  赤坎区</v>
      </c>
      <c r="C55" s="44" t="s">
        <v>489</v>
      </c>
      <c r="D55" s="43">
        <v>275596</v>
      </c>
    </row>
    <row r="56" s="43" customFormat="1" ht="12.75" spans="1:4">
      <c r="A56" s="44" t="s">
        <v>341</v>
      </c>
      <c r="B56" s="47" t="str">
        <f t="shared" si="2"/>
        <v>  霞山区</v>
      </c>
      <c r="C56" s="44" t="s">
        <v>490</v>
      </c>
      <c r="D56" s="43">
        <v>431264</v>
      </c>
    </row>
    <row r="57" s="43" customFormat="1" ht="12.75" spans="1:4">
      <c r="A57" s="44" t="s">
        <v>343</v>
      </c>
      <c r="B57" s="47" t="str">
        <f t="shared" si="2"/>
        <v>  坡头区</v>
      </c>
      <c r="C57" s="44" t="s">
        <v>491</v>
      </c>
      <c r="D57" s="43">
        <v>212622</v>
      </c>
    </row>
    <row r="58" s="43" customFormat="1" ht="12.75" spans="1:4">
      <c r="A58" s="44" t="s">
        <v>345</v>
      </c>
      <c r="B58" s="47" t="str">
        <f t="shared" si="2"/>
        <v>  麻章区</v>
      </c>
      <c r="C58" s="44" t="s">
        <v>492</v>
      </c>
      <c r="D58" s="43">
        <v>319607</v>
      </c>
    </row>
    <row r="59" s="43" customFormat="1" ht="12.75" spans="1:4">
      <c r="A59" s="44" t="s">
        <v>282</v>
      </c>
      <c r="B59" s="44" t="str">
        <f t="shared" si="2"/>
        <v>  遂溪县</v>
      </c>
      <c r="C59" s="44" t="s">
        <v>493</v>
      </c>
      <c r="D59" s="43">
        <v>497405</v>
      </c>
    </row>
    <row r="60" s="43" customFormat="1" ht="12.75" spans="1:4">
      <c r="A60" s="44" t="s">
        <v>284</v>
      </c>
      <c r="B60" s="44" t="str">
        <f t="shared" si="2"/>
        <v>  徐闻县</v>
      </c>
      <c r="C60" s="44" t="s">
        <v>494</v>
      </c>
      <c r="D60" s="43">
        <v>387606</v>
      </c>
    </row>
    <row r="61" s="43" customFormat="1" ht="12.75" spans="1:4">
      <c r="A61" s="44" t="s">
        <v>286</v>
      </c>
      <c r="B61" s="44" t="str">
        <f t="shared" si="2"/>
        <v>  廉江市</v>
      </c>
      <c r="C61" s="44" t="s">
        <v>495</v>
      </c>
      <c r="D61" s="43">
        <v>792270</v>
      </c>
    </row>
    <row r="62" s="43" customFormat="1" ht="12.75" spans="1:4">
      <c r="A62" s="44" t="s">
        <v>288</v>
      </c>
      <c r="B62" s="44" t="str">
        <f t="shared" si="2"/>
        <v>  雷州市</v>
      </c>
      <c r="C62" s="44" t="s">
        <v>496</v>
      </c>
      <c r="D62" s="43">
        <v>775857</v>
      </c>
    </row>
    <row r="63" s="43" customFormat="1" ht="12.75" spans="1:4">
      <c r="A63" s="44" t="s">
        <v>290</v>
      </c>
      <c r="B63" s="44" t="str">
        <f t="shared" si="2"/>
        <v>  吴川市</v>
      </c>
      <c r="C63" s="44" t="s">
        <v>497</v>
      </c>
      <c r="D63" s="43">
        <v>547387</v>
      </c>
    </row>
    <row r="64" s="43" customFormat="1" ht="12.75" spans="1:4">
      <c r="A64" s="44" t="s">
        <v>350</v>
      </c>
      <c r="B64" s="47" t="str">
        <f t="shared" si="2"/>
        <v>  茂南区</v>
      </c>
      <c r="C64" s="44" t="s">
        <v>498</v>
      </c>
      <c r="D64" s="43">
        <v>650822</v>
      </c>
    </row>
    <row r="65" s="43" customFormat="1" ht="12.75" spans="1:4">
      <c r="A65" s="44" t="s">
        <v>351</v>
      </c>
      <c r="B65" s="47" t="str">
        <f t="shared" si="2"/>
        <v>  电白区</v>
      </c>
      <c r="C65" s="44" t="s">
        <v>499</v>
      </c>
      <c r="D65" s="43">
        <v>893200</v>
      </c>
    </row>
    <row r="66" s="43" customFormat="1" ht="12.75" spans="1:4">
      <c r="A66" s="44" t="s">
        <v>294</v>
      </c>
      <c r="B66" s="44" t="str">
        <f t="shared" si="2"/>
        <v>  高州市</v>
      </c>
      <c r="C66" s="44" t="s">
        <v>500</v>
      </c>
      <c r="D66" s="43">
        <v>766406</v>
      </c>
    </row>
    <row r="67" s="43" customFormat="1" ht="12.75" spans="1:4">
      <c r="A67" s="44" t="s">
        <v>296</v>
      </c>
      <c r="B67" s="44" t="str">
        <f t="shared" si="2"/>
        <v>  化州市</v>
      </c>
      <c r="C67" s="44" t="s">
        <v>501</v>
      </c>
      <c r="D67" s="43">
        <v>717342</v>
      </c>
    </row>
    <row r="68" s="43" customFormat="1" ht="12.75" spans="1:4">
      <c r="A68" s="44" t="s">
        <v>298</v>
      </c>
      <c r="B68" s="44" t="str">
        <f t="shared" ref="B68:B99" si="3">"  "&amp;A68</f>
        <v>  信宜市</v>
      </c>
      <c r="C68" s="44" t="s">
        <v>502</v>
      </c>
      <c r="D68" s="43">
        <v>574175</v>
      </c>
    </row>
    <row r="69" s="43" customFormat="1" ht="12.75" spans="1:4">
      <c r="A69" s="44" t="s">
        <v>372</v>
      </c>
      <c r="B69" s="44" t="str">
        <f t="shared" si="3"/>
        <v>  端州区</v>
      </c>
      <c r="C69" s="44" t="s">
        <v>503</v>
      </c>
      <c r="D69" s="43">
        <v>390325</v>
      </c>
    </row>
    <row r="70" s="43" customFormat="1" ht="12.75" spans="1:4">
      <c r="A70" s="44" t="s">
        <v>373</v>
      </c>
      <c r="B70" s="44" t="str">
        <f t="shared" si="3"/>
        <v>  鼎湖区</v>
      </c>
      <c r="C70" s="44" t="s">
        <v>504</v>
      </c>
      <c r="D70" s="43">
        <v>139677</v>
      </c>
    </row>
    <row r="71" s="43" customFormat="1" ht="12.75" spans="1:4">
      <c r="A71" s="44" t="s">
        <v>374</v>
      </c>
      <c r="B71" s="44" t="str">
        <f t="shared" si="3"/>
        <v>  高要区</v>
      </c>
      <c r="C71" s="44" t="s">
        <v>505</v>
      </c>
      <c r="D71" s="43">
        <v>492109</v>
      </c>
    </row>
    <row r="72" s="43" customFormat="1" ht="12.75" spans="1:4">
      <c r="A72" s="44" t="s">
        <v>302</v>
      </c>
      <c r="B72" s="44" t="str">
        <f t="shared" si="3"/>
        <v>  广宁县</v>
      </c>
      <c r="C72" s="44" t="s">
        <v>506</v>
      </c>
      <c r="D72" s="43">
        <v>258056</v>
      </c>
    </row>
    <row r="73" s="43" customFormat="1" ht="12.75" spans="1:4">
      <c r="A73" s="44" t="s">
        <v>304</v>
      </c>
      <c r="B73" s="44" t="str">
        <f t="shared" si="3"/>
        <v>  怀集县</v>
      </c>
      <c r="C73" s="44" t="s">
        <v>507</v>
      </c>
      <c r="D73" s="43">
        <v>472739</v>
      </c>
    </row>
    <row r="74" s="43" customFormat="1" ht="12.75" spans="1:4">
      <c r="A74" s="44" t="s">
        <v>306</v>
      </c>
      <c r="B74" s="44" t="str">
        <f t="shared" si="3"/>
        <v>  封开县</v>
      </c>
      <c r="C74" s="44" t="s">
        <v>508</v>
      </c>
      <c r="D74" s="43">
        <v>228974</v>
      </c>
    </row>
    <row r="75" s="43" customFormat="1" ht="12.75" spans="1:4">
      <c r="A75" s="44" t="s">
        <v>307</v>
      </c>
      <c r="B75" s="44" t="str">
        <f t="shared" si="3"/>
        <v>  德庆县</v>
      </c>
      <c r="C75" s="44" t="s">
        <v>509</v>
      </c>
      <c r="D75" s="43">
        <v>207985</v>
      </c>
    </row>
    <row r="76" s="43" customFormat="1" ht="12.75" spans="1:4">
      <c r="A76" s="44" t="s">
        <v>309</v>
      </c>
      <c r="B76" s="44" t="str">
        <f t="shared" si="3"/>
        <v>  四会市</v>
      </c>
      <c r="C76" s="44" t="s">
        <v>510</v>
      </c>
      <c r="D76" s="43">
        <v>451885</v>
      </c>
    </row>
    <row r="77" s="43" customFormat="1" ht="12.75" spans="1:4">
      <c r="A77" s="44" t="s">
        <v>361</v>
      </c>
      <c r="B77" s="44" t="str">
        <f t="shared" si="3"/>
        <v>  惠城区</v>
      </c>
      <c r="C77" s="44" t="s">
        <v>511</v>
      </c>
      <c r="D77" s="43">
        <v>1444347</v>
      </c>
    </row>
    <row r="78" s="43" customFormat="1" ht="12.75" spans="1:4">
      <c r="A78" s="44" t="s">
        <v>362</v>
      </c>
      <c r="B78" s="44" t="str">
        <f t="shared" si="3"/>
        <v>  惠阳区</v>
      </c>
      <c r="C78" s="44" t="s">
        <v>512</v>
      </c>
      <c r="D78" s="43">
        <v>1047929</v>
      </c>
    </row>
    <row r="79" s="43" customFormat="1" ht="12.75" spans="1:4">
      <c r="A79" s="44" t="s">
        <v>313</v>
      </c>
      <c r="B79" s="44" t="str">
        <f t="shared" si="3"/>
        <v>  博罗县</v>
      </c>
      <c r="C79" s="44" t="s">
        <v>513</v>
      </c>
      <c r="D79" s="43">
        <v>826100</v>
      </c>
    </row>
    <row r="80" s="43" customFormat="1" ht="12.75" spans="1:4">
      <c r="A80" s="44" t="s">
        <v>315</v>
      </c>
      <c r="B80" s="44" t="str">
        <f t="shared" si="3"/>
        <v>  惠东县</v>
      </c>
      <c r="C80" s="44" t="s">
        <v>514</v>
      </c>
      <c r="D80" s="43">
        <v>667221</v>
      </c>
    </row>
    <row r="81" s="43" customFormat="1" ht="12.75" spans="1:4">
      <c r="A81" s="44" t="s">
        <v>317</v>
      </c>
      <c r="B81" s="44" t="str">
        <f t="shared" si="3"/>
        <v>  龙门县</v>
      </c>
      <c r="C81" s="44" t="s">
        <v>515</v>
      </c>
      <c r="D81" s="43">
        <v>209094</v>
      </c>
    </row>
    <row r="82" s="43" customFormat="1" ht="12.75" spans="1:4">
      <c r="A82" s="44" t="s">
        <v>348</v>
      </c>
      <c r="B82" s="47" t="str">
        <f t="shared" si="3"/>
        <v>  梅江区</v>
      </c>
      <c r="C82" s="44" t="s">
        <v>516</v>
      </c>
      <c r="D82" s="43">
        <v>290798</v>
      </c>
    </row>
    <row r="83" s="43" customFormat="1" ht="12.75" spans="1:4">
      <c r="A83" s="44" t="s">
        <v>349</v>
      </c>
      <c r="B83" s="47" t="str">
        <f t="shared" si="3"/>
        <v>  梅县区</v>
      </c>
      <c r="C83" s="44" t="s">
        <v>517</v>
      </c>
      <c r="D83" s="43">
        <v>370105</v>
      </c>
    </row>
    <row r="84" s="43" customFormat="1" ht="12.75" spans="1:4">
      <c r="A84" s="44" t="s">
        <v>321</v>
      </c>
      <c r="B84" s="44" t="str">
        <f t="shared" si="3"/>
        <v>  大埔县</v>
      </c>
      <c r="C84" s="44" t="s">
        <v>518</v>
      </c>
      <c r="D84" s="43">
        <v>204859</v>
      </c>
    </row>
    <row r="85" s="43" customFormat="1" ht="12.75" spans="1:4">
      <c r="A85" s="44" t="s">
        <v>323</v>
      </c>
      <c r="B85" s="44" t="str">
        <f t="shared" si="3"/>
        <v>  丰顺县</v>
      </c>
      <c r="C85" s="44" t="s">
        <v>519</v>
      </c>
      <c r="D85" s="43">
        <v>295089</v>
      </c>
    </row>
    <row r="86" s="43" customFormat="1" ht="12.75" spans="1:4">
      <c r="A86" s="44" t="s">
        <v>325</v>
      </c>
      <c r="B86" s="44" t="str">
        <f t="shared" si="3"/>
        <v>  五华县</v>
      </c>
      <c r="C86" s="44" t="s">
        <v>520</v>
      </c>
      <c r="D86" s="43">
        <v>513139</v>
      </c>
    </row>
    <row r="87" s="43" customFormat="1" ht="12.75" spans="1:4">
      <c r="A87" s="44" t="s">
        <v>327</v>
      </c>
      <c r="B87" s="44" t="str">
        <f t="shared" si="3"/>
        <v>  平远县</v>
      </c>
      <c r="C87" s="44" t="s">
        <v>521</v>
      </c>
      <c r="D87" s="43">
        <v>125560</v>
      </c>
    </row>
    <row r="88" s="43" customFormat="1" ht="12.75" spans="1:4">
      <c r="A88" s="44" t="s">
        <v>329</v>
      </c>
      <c r="B88" s="44" t="str">
        <f t="shared" si="3"/>
        <v>  蕉岭县</v>
      </c>
      <c r="C88" s="44" t="s">
        <v>522</v>
      </c>
      <c r="D88" s="43">
        <v>122978</v>
      </c>
    </row>
    <row r="89" s="43" customFormat="1" ht="12.75" spans="1:4">
      <c r="A89" s="44" t="s">
        <v>331</v>
      </c>
      <c r="B89" s="44" t="str">
        <f t="shared" si="3"/>
        <v>  兴宁市</v>
      </c>
      <c r="C89" s="44" t="s">
        <v>523</v>
      </c>
      <c r="D89" s="43">
        <v>485149</v>
      </c>
    </row>
    <row r="90" s="43" customFormat="1" ht="12.75" spans="1:4">
      <c r="A90" s="44" t="s">
        <v>524</v>
      </c>
      <c r="B90" s="47" t="str">
        <f t="shared" si="3"/>
        <v>  城区</v>
      </c>
      <c r="C90" s="44" t="s">
        <v>525</v>
      </c>
      <c r="D90" s="43">
        <v>300172</v>
      </c>
    </row>
    <row r="91" s="43" customFormat="1" ht="12.75" spans="1:4">
      <c r="A91" s="44" t="s">
        <v>310</v>
      </c>
      <c r="B91" s="44" t="str">
        <f t="shared" si="3"/>
        <v>  海丰县</v>
      </c>
      <c r="C91" s="44" t="s">
        <v>526</v>
      </c>
      <c r="D91" s="43">
        <v>518269</v>
      </c>
    </row>
    <row r="92" s="43" customFormat="1" ht="12.75" spans="1:4">
      <c r="A92" s="44" t="s">
        <v>311</v>
      </c>
      <c r="B92" s="44" t="str">
        <f t="shared" si="3"/>
        <v>  陆河县</v>
      </c>
      <c r="C92" s="44" t="s">
        <v>527</v>
      </c>
      <c r="D92" s="43">
        <v>148211</v>
      </c>
    </row>
    <row r="93" s="43" customFormat="1" ht="12.75" spans="1:4">
      <c r="A93" s="44" t="s">
        <v>312</v>
      </c>
      <c r="B93" s="44" t="str">
        <f t="shared" si="3"/>
        <v>  陆丰市</v>
      </c>
      <c r="C93" s="44" t="s">
        <v>528</v>
      </c>
      <c r="D93" s="43">
        <v>722698</v>
      </c>
    </row>
    <row r="94" s="43" customFormat="1" ht="12.75" spans="1:4">
      <c r="A94" s="44" t="s">
        <v>365</v>
      </c>
      <c r="B94" s="47" t="str">
        <f t="shared" si="3"/>
        <v>  源城区</v>
      </c>
      <c r="C94" s="44" t="s">
        <v>529</v>
      </c>
      <c r="D94" s="43">
        <v>468130</v>
      </c>
    </row>
    <row r="95" s="43" customFormat="1" ht="12.75" spans="1:4">
      <c r="A95" s="44" t="s">
        <v>340</v>
      </c>
      <c r="B95" s="44" t="str">
        <f t="shared" si="3"/>
        <v>  紫金县</v>
      </c>
      <c r="C95" s="44" t="s">
        <v>530</v>
      </c>
      <c r="D95" s="43">
        <v>318346</v>
      </c>
    </row>
    <row r="96" s="43" customFormat="1" ht="12.75" spans="1:4">
      <c r="A96" s="44" t="s">
        <v>342</v>
      </c>
      <c r="B96" s="44" t="str">
        <f t="shared" si="3"/>
        <v>  龙川县</v>
      </c>
      <c r="C96" s="44" t="s">
        <v>531</v>
      </c>
      <c r="D96" s="43">
        <v>349329</v>
      </c>
    </row>
    <row r="97" s="43" customFormat="1" ht="12.75" spans="1:4">
      <c r="A97" s="44" t="s">
        <v>344</v>
      </c>
      <c r="B97" s="44" t="str">
        <f t="shared" si="3"/>
        <v>  连平县</v>
      </c>
      <c r="C97" s="44" t="s">
        <v>532</v>
      </c>
      <c r="D97" s="43">
        <v>176812</v>
      </c>
    </row>
    <row r="98" s="43" customFormat="1" ht="12.75" spans="1:4">
      <c r="A98" s="44" t="s">
        <v>346</v>
      </c>
      <c r="B98" s="44" t="str">
        <f t="shared" si="3"/>
        <v>  和平县</v>
      </c>
      <c r="C98" s="44" t="s">
        <v>533</v>
      </c>
      <c r="D98" s="43">
        <v>207762</v>
      </c>
    </row>
    <row r="99" s="43" customFormat="1" ht="12.75" spans="1:4">
      <c r="A99" s="44" t="s">
        <v>347</v>
      </c>
      <c r="B99" s="44" t="str">
        <f t="shared" si="3"/>
        <v>  东源县</v>
      </c>
      <c r="C99" s="44" t="s">
        <v>534</v>
      </c>
      <c r="D99" s="43">
        <v>214716</v>
      </c>
    </row>
    <row r="100" s="43" customFormat="1" ht="12.75" spans="1:4">
      <c r="A100" s="44" t="s">
        <v>328</v>
      </c>
      <c r="B100" s="47" t="str">
        <f t="shared" ref="B100:B126" si="4">"  "&amp;A100</f>
        <v>  江城区</v>
      </c>
      <c r="C100" s="44" t="s">
        <v>535</v>
      </c>
      <c r="D100" s="43">
        <v>553451</v>
      </c>
    </row>
    <row r="101" s="43" customFormat="1" ht="12.75" spans="1:4">
      <c r="A101" s="44" t="s">
        <v>332</v>
      </c>
      <c r="B101" s="47" t="str">
        <f t="shared" si="4"/>
        <v>  阳东区</v>
      </c>
      <c r="C101" s="44" t="s">
        <v>536</v>
      </c>
      <c r="D101" s="43">
        <v>320108</v>
      </c>
    </row>
    <row r="102" s="43" customFormat="1" ht="12.75" spans="1:4">
      <c r="A102" s="44" t="s">
        <v>330</v>
      </c>
      <c r="B102" s="44" t="str">
        <f t="shared" si="4"/>
        <v>  阳西县</v>
      </c>
      <c r="C102" s="44" t="s">
        <v>537</v>
      </c>
      <c r="D102" s="43">
        <v>282233</v>
      </c>
    </row>
    <row r="103" s="43" customFormat="1" ht="12.75" spans="1:4">
      <c r="A103" s="44" t="s">
        <v>333</v>
      </c>
      <c r="B103" s="44" t="str">
        <f t="shared" si="4"/>
        <v>  阳春市</v>
      </c>
      <c r="C103" s="44" t="s">
        <v>538</v>
      </c>
      <c r="D103" s="43">
        <v>536791</v>
      </c>
    </row>
    <row r="104" s="43" customFormat="1" ht="12.75" spans="1:4">
      <c r="A104" s="44" t="s">
        <v>314</v>
      </c>
      <c r="B104" s="47" t="str">
        <f t="shared" si="4"/>
        <v>  清城区</v>
      </c>
      <c r="C104" s="44" t="s">
        <v>539</v>
      </c>
      <c r="D104" s="43">
        <v>744522</v>
      </c>
    </row>
    <row r="105" s="43" customFormat="1" ht="12.75" spans="1:4">
      <c r="A105" s="44" t="s">
        <v>322</v>
      </c>
      <c r="B105" s="47" t="str">
        <f t="shared" si="4"/>
        <v>  清新区</v>
      </c>
      <c r="C105" s="44" t="s">
        <v>540</v>
      </c>
      <c r="D105" s="43">
        <v>400500</v>
      </c>
    </row>
    <row r="106" s="43" customFormat="1" ht="12.75" spans="1:4">
      <c r="A106" s="44" t="s">
        <v>316</v>
      </c>
      <c r="B106" s="44" t="str">
        <f t="shared" si="4"/>
        <v>  佛冈县</v>
      </c>
      <c r="C106" s="44" t="s">
        <v>541</v>
      </c>
      <c r="D106" s="43">
        <v>204250</v>
      </c>
    </row>
    <row r="107" s="43" customFormat="1" ht="12.75" spans="1:4">
      <c r="A107" s="44" t="s">
        <v>318</v>
      </c>
      <c r="B107" s="44" t="str">
        <f t="shared" si="4"/>
        <v>  阳山县</v>
      </c>
      <c r="C107" s="44" t="s">
        <v>542</v>
      </c>
      <c r="D107" s="43">
        <v>227643</v>
      </c>
    </row>
    <row r="108" s="43" customFormat="1" ht="12.75" spans="1:4">
      <c r="A108" s="44" t="s">
        <v>319</v>
      </c>
      <c r="B108" s="44" t="str">
        <f t="shared" si="4"/>
        <v>  连山壮族瑶族自治县</v>
      </c>
      <c r="C108" s="44" t="s">
        <v>543</v>
      </c>
      <c r="D108" s="43">
        <v>60380</v>
      </c>
    </row>
    <row r="109" s="43" customFormat="1" ht="12.75" spans="1:4">
      <c r="A109" s="44" t="s">
        <v>320</v>
      </c>
      <c r="B109" s="44" t="str">
        <f t="shared" si="4"/>
        <v>  连南瑶族自治县</v>
      </c>
      <c r="C109" s="44" t="s">
        <v>544</v>
      </c>
      <c r="D109" s="43">
        <v>82653</v>
      </c>
    </row>
    <row r="110" s="43" customFormat="1" ht="12.75" spans="1:4">
      <c r="A110" s="44" t="s">
        <v>324</v>
      </c>
      <c r="B110" s="44" t="str">
        <f t="shared" si="4"/>
        <v>  英德市</v>
      </c>
      <c r="C110" s="44" t="s">
        <v>545</v>
      </c>
      <c r="D110" s="43">
        <v>599553</v>
      </c>
    </row>
    <row r="111" s="43" customFormat="1" ht="12.75" spans="1:4">
      <c r="A111" s="44" t="s">
        <v>326</v>
      </c>
      <c r="B111" s="44" t="str">
        <f t="shared" si="4"/>
        <v>  连州市</v>
      </c>
      <c r="C111" s="44" t="s">
        <v>546</v>
      </c>
      <c r="D111" s="43">
        <v>237410</v>
      </c>
    </row>
    <row r="112" s="43" customFormat="1" ht="12.75" spans="1:4">
      <c r="A112" s="44" t="s">
        <v>547</v>
      </c>
      <c r="B112" s="44" t="str">
        <f t="shared" si="4"/>
        <v>  市辖区</v>
      </c>
      <c r="C112" s="44" t="s">
        <v>548</v>
      </c>
      <c r="D112" s="43">
        <v>8377003</v>
      </c>
    </row>
    <row r="113" s="43" customFormat="1" ht="12.75" spans="1:4">
      <c r="A113" s="44" t="s">
        <v>547</v>
      </c>
      <c r="B113" s="44" t="str">
        <f t="shared" si="4"/>
        <v>  市辖区</v>
      </c>
      <c r="C113" s="44" t="s">
        <v>549</v>
      </c>
      <c r="D113" s="43">
        <v>3378536</v>
      </c>
    </row>
    <row r="114" s="43" customFormat="1" ht="12.75" spans="1:4">
      <c r="A114" s="44" t="s">
        <v>375</v>
      </c>
      <c r="B114" s="47" t="str">
        <f t="shared" si="4"/>
        <v>  湘桥区</v>
      </c>
      <c r="C114" s="44" t="s">
        <v>550</v>
      </c>
      <c r="D114" s="43">
        <v>401060</v>
      </c>
    </row>
    <row r="115" s="43" customFormat="1" ht="12.75" spans="1:4">
      <c r="A115" s="44" t="s">
        <v>376</v>
      </c>
      <c r="B115" s="47" t="str">
        <f t="shared" si="4"/>
        <v>  潮安区</v>
      </c>
      <c r="C115" s="44" t="s">
        <v>551</v>
      </c>
      <c r="D115" s="43">
        <v>815538</v>
      </c>
    </row>
    <row r="116" s="43" customFormat="1" ht="12.75" spans="1:4">
      <c r="A116" s="44" t="s">
        <v>352</v>
      </c>
      <c r="B116" s="44" t="str">
        <f t="shared" si="4"/>
        <v>  饶平县</v>
      </c>
      <c r="C116" s="44" t="s">
        <v>552</v>
      </c>
      <c r="D116" s="43">
        <v>535082</v>
      </c>
    </row>
    <row r="117" s="43" customFormat="1" ht="12.75" spans="1:4">
      <c r="A117" s="44" t="s">
        <v>353</v>
      </c>
      <c r="B117" s="47" t="str">
        <f t="shared" si="4"/>
        <v>  榕城区</v>
      </c>
      <c r="C117" s="44" t="s">
        <v>553</v>
      </c>
      <c r="D117" s="43">
        <v>626061</v>
      </c>
    </row>
    <row r="118" s="43" customFormat="1" ht="12.75" spans="1:4">
      <c r="A118" s="44" t="s">
        <v>355</v>
      </c>
      <c r="B118" s="47" t="str">
        <f t="shared" si="4"/>
        <v>  揭东区</v>
      </c>
      <c r="C118" s="44" t="s">
        <v>554</v>
      </c>
      <c r="D118" s="43">
        <v>601991</v>
      </c>
    </row>
    <row r="119" s="43" customFormat="1" ht="12.75" spans="1:4">
      <c r="A119" s="44" t="s">
        <v>354</v>
      </c>
      <c r="B119" s="44" t="str">
        <f t="shared" si="4"/>
        <v>  揭西县</v>
      </c>
      <c r="C119" s="44" t="s">
        <v>555</v>
      </c>
      <c r="D119" s="43">
        <v>410328</v>
      </c>
    </row>
    <row r="120" s="43" customFormat="1" ht="12.75" spans="1:4">
      <c r="A120" s="44" t="s">
        <v>356</v>
      </c>
      <c r="B120" s="44" t="str">
        <f t="shared" si="4"/>
        <v>  惠来县</v>
      </c>
      <c r="C120" s="44" t="s">
        <v>556</v>
      </c>
      <c r="D120" s="43">
        <v>574020</v>
      </c>
    </row>
    <row r="121" s="43" customFormat="1" ht="12.75" spans="1:4">
      <c r="A121" s="44" t="s">
        <v>357</v>
      </c>
      <c r="B121" s="44" t="str">
        <f t="shared" si="4"/>
        <v>  普宁市</v>
      </c>
      <c r="C121" s="44" t="s">
        <v>557</v>
      </c>
      <c r="D121" s="43">
        <v>1205460</v>
      </c>
    </row>
    <row r="122" s="43" customFormat="1" ht="12.75" spans="1:4">
      <c r="A122" s="44" t="s">
        <v>334</v>
      </c>
      <c r="B122" s="47" t="str">
        <f t="shared" si="4"/>
        <v>  云城区</v>
      </c>
      <c r="C122" s="44" t="s">
        <v>558</v>
      </c>
      <c r="D122" s="43">
        <v>267092</v>
      </c>
    </row>
    <row r="123" s="43" customFormat="1" ht="12.75" spans="1:4">
      <c r="A123" s="44" t="s">
        <v>337</v>
      </c>
      <c r="B123" s="47" t="str">
        <f t="shared" si="4"/>
        <v>  云安区</v>
      </c>
      <c r="C123" s="44" t="s">
        <v>559</v>
      </c>
      <c r="D123" s="43">
        <v>144665</v>
      </c>
    </row>
    <row r="124" s="43" customFormat="1" ht="12.75" spans="1:4">
      <c r="A124" s="44" t="s">
        <v>335</v>
      </c>
      <c r="B124" s="44" t="str">
        <f t="shared" si="4"/>
        <v>  新兴县</v>
      </c>
      <c r="C124" s="44" t="s">
        <v>560</v>
      </c>
      <c r="D124" s="43">
        <v>277803</v>
      </c>
    </row>
    <row r="125" s="43" customFormat="1" ht="12.75" spans="1:4">
      <c r="A125" s="44" t="s">
        <v>336</v>
      </c>
      <c r="B125" s="44" t="str">
        <f t="shared" si="4"/>
        <v>  郁南县</v>
      </c>
      <c r="C125" s="44" t="s">
        <v>561</v>
      </c>
      <c r="D125" s="43">
        <v>228084</v>
      </c>
    </row>
    <row r="126" s="43" customFormat="1" ht="12.75" spans="1:4">
      <c r="A126" s="44" t="s">
        <v>338</v>
      </c>
      <c r="B126" s="44" t="str">
        <f t="shared" si="4"/>
        <v>  罗定市</v>
      </c>
      <c r="C126" s="44" t="s">
        <v>562</v>
      </c>
      <c r="D126" s="43">
        <v>551830</v>
      </c>
    </row>
  </sheetData>
  <autoFilter ref="A2:XFD126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I12" sqref="I12"/>
    </sheetView>
  </sheetViews>
  <sheetFormatPr defaultColWidth="9" defaultRowHeight="13.5" outlineLevelRow="7"/>
  <cols>
    <col min="2" max="2" width="9.375"/>
    <col min="5" max="5" width="10.375"/>
    <col min="6" max="6" width="11.25" customWidth="1"/>
    <col min="7" max="7" width="11.5083333333333"/>
    <col min="8" max="8" width="11.75" customWidth="1"/>
    <col min="10" max="10" width="11.125" customWidth="1"/>
    <col min="11" max="11" width="11.75" customWidth="1"/>
    <col min="14" max="14" width="12.5083333333333" customWidth="1"/>
  </cols>
  <sheetData>
    <row r="1" ht="67.5" spans="1:14">
      <c r="A1" s="8" t="s">
        <v>1</v>
      </c>
      <c r="B1" s="8" t="s">
        <v>7</v>
      </c>
      <c r="C1" s="8" t="s">
        <v>8</v>
      </c>
      <c r="D1" s="8" t="s">
        <v>9</v>
      </c>
      <c r="E1" s="8" t="s">
        <v>150</v>
      </c>
      <c r="F1" s="13" t="s">
        <v>151</v>
      </c>
      <c r="G1" s="13" t="s">
        <v>12</v>
      </c>
      <c r="H1" s="13" t="s">
        <v>13</v>
      </c>
      <c r="I1" s="13" t="s">
        <v>152</v>
      </c>
      <c r="J1" s="13" t="s">
        <v>153</v>
      </c>
      <c r="K1" s="8" t="s">
        <v>154</v>
      </c>
      <c r="L1" s="8"/>
      <c r="M1" s="8"/>
      <c r="N1" s="8"/>
    </row>
    <row r="2" ht="67.5" spans="1:14">
      <c r="A2" s="8" t="s">
        <v>25</v>
      </c>
      <c r="B2" s="8" t="s">
        <v>26</v>
      </c>
      <c r="C2" s="8" t="s">
        <v>27</v>
      </c>
      <c r="D2" s="8" t="s">
        <v>28</v>
      </c>
      <c r="E2" s="8" t="s">
        <v>29</v>
      </c>
      <c r="F2" s="13" t="s">
        <v>30</v>
      </c>
      <c r="G2" s="13" t="s">
        <v>31</v>
      </c>
      <c r="H2" s="13" t="s">
        <v>155</v>
      </c>
      <c r="I2" s="13" t="s">
        <v>43</v>
      </c>
      <c r="J2" s="13" t="s">
        <v>156</v>
      </c>
      <c r="K2" s="13" t="s">
        <v>157</v>
      </c>
      <c r="L2" s="42" t="s">
        <v>146</v>
      </c>
      <c r="M2" s="42" t="s">
        <v>158</v>
      </c>
      <c r="N2" s="42" t="s">
        <v>159</v>
      </c>
    </row>
    <row r="3" ht="14.25" spans="1:14">
      <c r="A3" s="16" t="s">
        <v>47</v>
      </c>
      <c r="B3" s="40">
        <v>20974449</v>
      </c>
      <c r="C3" s="40">
        <v>943721</v>
      </c>
      <c r="D3" s="40">
        <v>13638395</v>
      </c>
      <c r="E3" s="40">
        <v>1227455</v>
      </c>
      <c r="F3" s="41">
        <v>27276.79</v>
      </c>
      <c r="G3" s="41">
        <v>8592.18</v>
      </c>
      <c r="H3" s="41">
        <v>868.45</v>
      </c>
      <c r="I3" s="41">
        <v>4474</v>
      </c>
      <c r="J3" s="41">
        <v>41211.42</v>
      </c>
      <c r="K3" s="41">
        <v>27955.79</v>
      </c>
      <c r="L3" s="41">
        <v>4228.26</v>
      </c>
      <c r="M3" s="41">
        <v>8043.54</v>
      </c>
      <c r="N3" s="41">
        <v>15683.99</v>
      </c>
    </row>
    <row r="5" spans="1:14">
      <c r="A5" t="s">
        <v>47</v>
      </c>
      <c r="B5">
        <v>34312998</v>
      </c>
      <c r="C5">
        <v>943721</v>
      </c>
      <c r="D5">
        <v>22975382</v>
      </c>
      <c r="E5">
        <v>2067785</v>
      </c>
      <c r="F5">
        <v>45950.75</v>
      </c>
      <c r="G5">
        <v>14474.49</v>
      </c>
      <c r="H5">
        <v>1204.61</v>
      </c>
      <c r="I5">
        <v>6214</v>
      </c>
      <c r="J5">
        <v>67843.85</v>
      </c>
      <c r="K5">
        <v>46629.75</v>
      </c>
      <c r="L5">
        <v>6895.94</v>
      </c>
      <c r="M5">
        <v>13378.97</v>
      </c>
      <c r="N5">
        <v>26354.84</v>
      </c>
    </row>
    <row r="7" spans="2:14">
      <c r="B7">
        <f>B5-B3</f>
        <v>13338549</v>
      </c>
      <c r="C7">
        <f t="shared" ref="C7:N7" si="0">C5-C3</f>
        <v>0</v>
      </c>
      <c r="D7">
        <f t="shared" si="0"/>
        <v>9336987</v>
      </c>
      <c r="E7">
        <f t="shared" si="0"/>
        <v>840330</v>
      </c>
      <c r="F7">
        <f t="shared" si="0"/>
        <v>18673.96</v>
      </c>
      <c r="G7">
        <f t="shared" si="0"/>
        <v>5882.31</v>
      </c>
      <c r="H7">
        <f t="shared" si="0"/>
        <v>336.16</v>
      </c>
      <c r="I7">
        <f t="shared" si="0"/>
        <v>1740</v>
      </c>
      <c r="J7">
        <f t="shared" si="0"/>
        <v>26632.43</v>
      </c>
      <c r="K7">
        <f t="shared" si="0"/>
        <v>18673.96</v>
      </c>
      <c r="L7">
        <f t="shared" si="0"/>
        <v>2667.68</v>
      </c>
      <c r="M7">
        <f t="shared" si="0"/>
        <v>5335.43</v>
      </c>
      <c r="N7">
        <f t="shared" si="0"/>
        <v>10670.85</v>
      </c>
    </row>
    <row r="8" spans="5:9">
      <c r="E8">
        <f>D7*0.09</f>
        <v>840328.83</v>
      </c>
      <c r="F8">
        <f>D7*20</f>
        <v>186739740</v>
      </c>
      <c r="G8">
        <f>D7*0.3*21</f>
        <v>58823018.1</v>
      </c>
      <c r="H8">
        <f>E8*0.4*10</f>
        <v>3361315.32</v>
      </c>
      <c r="I8">
        <f>I7/29</f>
        <v>60</v>
      </c>
    </row>
  </sheetData>
  <mergeCells count="1">
    <mergeCell ref="K1:N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9"/>
  <sheetViews>
    <sheetView topLeftCell="D1" workbookViewId="0">
      <selection activeCell="G10" sqref="G10"/>
    </sheetView>
  </sheetViews>
  <sheetFormatPr defaultColWidth="9" defaultRowHeight="15"/>
  <cols>
    <col min="1" max="3" width="9" style="1" hidden="1" customWidth="1"/>
    <col min="4" max="4" width="20.875" style="1" customWidth="1"/>
    <col min="5" max="6" width="11.75" style="5" customWidth="1"/>
    <col min="7" max="7" width="19.125" style="5" customWidth="1"/>
    <col min="8" max="8" width="15.375" style="1" customWidth="1"/>
    <col min="9" max="10" width="14.25" style="1" customWidth="1"/>
    <col min="11" max="12" width="11" style="1" customWidth="1"/>
    <col min="13" max="14" width="11" style="5" hidden="1" customWidth="1"/>
    <col min="15" max="15" width="9.75" style="5" hidden="1" customWidth="1"/>
    <col min="16" max="16" width="9.625" style="5" hidden="1" customWidth="1"/>
    <col min="17" max="17" width="11" style="5" hidden="1" customWidth="1"/>
    <col min="18" max="18" width="11" style="1" hidden="1" customWidth="1"/>
    <col min="19" max="19" width="11" style="5" hidden="1" customWidth="1"/>
    <col min="20" max="16383" width="9" style="1"/>
  </cols>
  <sheetData>
    <row r="1" s="1" customFormat="1" ht="27" customHeight="1" spans="4:19">
      <c r="D1" s="6" t="s">
        <v>563</v>
      </c>
      <c r="E1" s="7"/>
      <c r="F1" s="7"/>
      <c r="G1" s="7"/>
      <c r="H1" s="6"/>
      <c r="I1" s="6"/>
      <c r="J1" s="6"/>
      <c r="K1" s="6"/>
      <c r="L1" s="27"/>
      <c r="M1" s="7"/>
      <c r="N1" s="7"/>
      <c r="O1" s="7"/>
      <c r="P1" s="7"/>
      <c r="Q1" s="6"/>
      <c r="R1" s="6"/>
      <c r="S1" s="6"/>
    </row>
    <row r="2" s="1" customFormat="1" ht="27" customHeight="1" spans="4:19">
      <c r="D2" s="8" t="s">
        <v>1</v>
      </c>
      <c r="E2" s="9" t="s">
        <v>564</v>
      </c>
      <c r="F2" s="9"/>
      <c r="G2" s="9"/>
      <c r="H2" s="9"/>
      <c r="I2" s="9"/>
      <c r="J2" s="9"/>
      <c r="K2" s="8" t="s">
        <v>152</v>
      </c>
      <c r="L2" s="28" t="s">
        <v>565</v>
      </c>
      <c r="M2" s="7"/>
      <c r="N2" s="7"/>
      <c r="O2" s="7"/>
      <c r="P2" s="7"/>
      <c r="Q2" s="6"/>
      <c r="R2" s="6"/>
      <c r="S2" s="6"/>
    </row>
    <row r="3" s="1" customFormat="1" ht="57" customHeight="1" spans="1:19">
      <c r="A3" s="10"/>
      <c r="B3" s="11" t="s">
        <v>5</v>
      </c>
      <c r="C3" s="12" t="s">
        <v>6</v>
      </c>
      <c r="D3" s="8"/>
      <c r="E3" s="13" t="s">
        <v>7</v>
      </c>
      <c r="F3" s="13" t="s">
        <v>8</v>
      </c>
      <c r="G3" s="13" t="s">
        <v>566</v>
      </c>
      <c r="H3" s="8" t="s">
        <v>567</v>
      </c>
      <c r="I3" s="13" t="s">
        <v>15</v>
      </c>
      <c r="J3" s="13" t="s">
        <v>568</v>
      </c>
      <c r="K3" s="8"/>
      <c r="L3" s="28"/>
      <c r="M3" s="29" t="s">
        <v>569</v>
      </c>
      <c r="N3" s="30" t="s">
        <v>18</v>
      </c>
      <c r="O3" s="30" t="s">
        <v>570</v>
      </c>
      <c r="P3" s="30" t="s">
        <v>20</v>
      </c>
      <c r="Q3" s="35" t="s">
        <v>23</v>
      </c>
      <c r="R3" s="35" t="s">
        <v>15</v>
      </c>
      <c r="S3" s="35" t="s">
        <v>24</v>
      </c>
    </row>
    <row r="4" s="1" customFormat="1" ht="20" customHeight="1" spans="1:19">
      <c r="A4" s="10"/>
      <c r="B4" s="11"/>
      <c r="C4" s="12"/>
      <c r="D4" s="8" t="s">
        <v>25</v>
      </c>
      <c r="E4" s="13" t="s">
        <v>26</v>
      </c>
      <c r="F4" s="13" t="s">
        <v>27</v>
      </c>
      <c r="G4" s="13" t="s">
        <v>571</v>
      </c>
      <c r="H4" s="8" t="s">
        <v>572</v>
      </c>
      <c r="I4" s="13" t="s">
        <v>573</v>
      </c>
      <c r="J4" s="13" t="s">
        <v>574</v>
      </c>
      <c r="K4" s="8" t="s">
        <v>42</v>
      </c>
      <c r="L4" s="28" t="s">
        <v>575</v>
      </c>
      <c r="M4" s="29"/>
      <c r="N4" s="30"/>
      <c r="O4" s="30"/>
      <c r="P4" s="30"/>
      <c r="Q4" s="35"/>
      <c r="R4" s="35"/>
      <c r="S4" s="35"/>
    </row>
    <row r="5" s="2" customFormat="1" ht="14.25" spans="1:19">
      <c r="A5" s="14"/>
      <c r="B5" s="15"/>
      <c r="C5" s="15"/>
      <c r="D5" s="16" t="s">
        <v>47</v>
      </c>
      <c r="E5" s="17">
        <f>E6+E13</f>
        <v>20974449</v>
      </c>
      <c r="F5" s="17">
        <f>F6+F13</f>
        <v>943721</v>
      </c>
      <c r="G5" s="17">
        <f>G6+G13</f>
        <v>1962628</v>
      </c>
      <c r="H5" s="17">
        <f>H6+H13</f>
        <v>3925.26</v>
      </c>
      <c r="I5" s="17"/>
      <c r="J5" s="31">
        <f t="shared" ref="J5:Q5" si="0">J6+J13</f>
        <v>3446.39</v>
      </c>
      <c r="K5" s="17">
        <f t="shared" si="0"/>
        <v>2553.61</v>
      </c>
      <c r="L5" s="17">
        <f t="shared" si="0"/>
        <v>6000</v>
      </c>
      <c r="M5" s="17">
        <f t="shared" si="0"/>
        <v>1140</v>
      </c>
      <c r="N5" s="17">
        <f t="shared" si="0"/>
        <v>895</v>
      </c>
      <c r="O5" s="17">
        <f t="shared" si="0"/>
        <v>334</v>
      </c>
      <c r="P5" s="17">
        <f t="shared" si="0"/>
        <v>64</v>
      </c>
      <c r="Q5" s="17">
        <f t="shared" si="0"/>
        <v>9993.31</v>
      </c>
      <c r="R5" s="17"/>
      <c r="S5" s="17">
        <f>S6+S13</f>
        <v>8838</v>
      </c>
    </row>
    <row r="6" s="2" customFormat="1" ht="14.25" spans="1:19">
      <c r="A6" s="14"/>
      <c r="B6" s="15"/>
      <c r="C6" s="15"/>
      <c r="D6" s="15" t="s">
        <v>48</v>
      </c>
      <c r="E6" s="17"/>
      <c r="F6" s="17"/>
      <c r="G6" s="17"/>
      <c r="H6" s="17"/>
      <c r="I6" s="17"/>
      <c r="J6" s="17"/>
      <c r="K6" s="17">
        <f t="shared" ref="K6:Q6" si="1">SUM(K7:K12)</f>
        <v>204.61</v>
      </c>
      <c r="L6" s="17">
        <f t="shared" si="1"/>
        <v>204.61</v>
      </c>
      <c r="M6" s="17">
        <f t="shared" si="1"/>
        <v>60</v>
      </c>
      <c r="N6" s="17">
        <f t="shared" si="1"/>
        <v>40</v>
      </c>
      <c r="O6" s="17">
        <f t="shared" si="1"/>
        <v>49</v>
      </c>
      <c r="P6" s="17">
        <f t="shared" si="1"/>
        <v>64</v>
      </c>
      <c r="Q6" s="17">
        <f t="shared" si="1"/>
        <v>210.61</v>
      </c>
      <c r="R6" s="17"/>
      <c r="S6" s="17">
        <f>SUM(S7:S12)</f>
        <v>211</v>
      </c>
    </row>
    <row r="7" s="2" customFormat="1" spans="1:19">
      <c r="A7" s="14"/>
      <c r="B7" s="15"/>
      <c r="C7" s="15"/>
      <c r="D7" s="18" t="s">
        <v>49</v>
      </c>
      <c r="E7" s="17"/>
      <c r="F7" s="17"/>
      <c r="G7" s="17"/>
      <c r="H7" s="17"/>
      <c r="I7" s="32">
        <v>1</v>
      </c>
      <c r="J7" s="32"/>
      <c r="K7" s="20">
        <v>39.61</v>
      </c>
      <c r="L7" s="17">
        <f t="shared" ref="L7:L12" si="2">ROUND(J7+K7,2)</f>
        <v>39.61</v>
      </c>
      <c r="M7" s="17"/>
      <c r="N7" s="17"/>
      <c r="O7" s="20">
        <v>49</v>
      </c>
      <c r="P7" s="17"/>
      <c r="Q7" s="17">
        <f t="shared" ref="Q7:Q12" si="3">SUM(H7:K7)</f>
        <v>40.61</v>
      </c>
      <c r="R7" s="32">
        <v>1</v>
      </c>
      <c r="S7" s="24">
        <f t="shared" ref="S7:S12" si="4">ROUND(Q7*R7,0)</f>
        <v>41</v>
      </c>
    </row>
    <row r="8" s="3" customFormat="1" spans="1:19">
      <c r="A8" s="19"/>
      <c r="B8" s="18"/>
      <c r="C8" s="18"/>
      <c r="D8" s="18" t="s">
        <v>50</v>
      </c>
      <c r="E8" s="20"/>
      <c r="F8" s="20"/>
      <c r="G8" s="20"/>
      <c r="H8" s="19"/>
      <c r="I8" s="32">
        <v>1</v>
      </c>
      <c r="J8" s="32"/>
      <c r="K8" s="20">
        <v>40</v>
      </c>
      <c r="L8" s="17">
        <f t="shared" si="2"/>
        <v>40</v>
      </c>
      <c r="M8" s="20">
        <v>30</v>
      </c>
      <c r="N8" s="20">
        <v>10</v>
      </c>
      <c r="O8" s="20"/>
      <c r="P8" s="20"/>
      <c r="Q8" s="17">
        <f t="shared" si="3"/>
        <v>41</v>
      </c>
      <c r="R8" s="32">
        <v>1</v>
      </c>
      <c r="S8" s="24">
        <f t="shared" si="4"/>
        <v>41</v>
      </c>
    </row>
    <row r="9" s="3" customFormat="1" spans="1:19">
      <c r="A9" s="19"/>
      <c r="B9" s="18"/>
      <c r="C9" s="18"/>
      <c r="D9" s="18" t="s">
        <v>51</v>
      </c>
      <c r="E9" s="20"/>
      <c r="F9" s="20"/>
      <c r="G9" s="20"/>
      <c r="H9" s="19"/>
      <c r="I9" s="32">
        <v>1</v>
      </c>
      <c r="J9" s="32"/>
      <c r="K9" s="20">
        <v>65</v>
      </c>
      <c r="L9" s="17">
        <f t="shared" si="2"/>
        <v>65</v>
      </c>
      <c r="M9" s="20"/>
      <c r="N9" s="20"/>
      <c r="O9" s="20"/>
      <c r="P9" s="20">
        <v>64</v>
      </c>
      <c r="Q9" s="17">
        <f t="shared" si="3"/>
        <v>66</v>
      </c>
      <c r="R9" s="32">
        <v>1</v>
      </c>
      <c r="S9" s="24">
        <f t="shared" si="4"/>
        <v>66</v>
      </c>
    </row>
    <row r="10" s="3" customFormat="1" spans="1:19">
      <c r="A10" s="19"/>
      <c r="B10" s="18"/>
      <c r="C10" s="18"/>
      <c r="D10" s="18" t="s">
        <v>52</v>
      </c>
      <c r="E10" s="20"/>
      <c r="F10" s="20"/>
      <c r="G10" s="20"/>
      <c r="H10" s="19"/>
      <c r="I10" s="32">
        <v>1</v>
      </c>
      <c r="J10" s="32"/>
      <c r="K10" s="20">
        <v>40</v>
      </c>
      <c r="L10" s="17">
        <f t="shared" si="2"/>
        <v>40</v>
      </c>
      <c r="M10" s="20">
        <v>30</v>
      </c>
      <c r="N10" s="20">
        <v>10</v>
      </c>
      <c r="O10" s="20"/>
      <c r="P10" s="20"/>
      <c r="Q10" s="17">
        <f t="shared" si="3"/>
        <v>41</v>
      </c>
      <c r="R10" s="32">
        <v>1</v>
      </c>
      <c r="S10" s="24">
        <f t="shared" si="4"/>
        <v>41</v>
      </c>
    </row>
    <row r="11" s="3" customFormat="1" spans="1:19">
      <c r="A11" s="19"/>
      <c r="B11" s="18"/>
      <c r="C11" s="18"/>
      <c r="D11" s="18" t="s">
        <v>53</v>
      </c>
      <c r="E11" s="20"/>
      <c r="F11" s="20"/>
      <c r="G11" s="20"/>
      <c r="H11" s="19"/>
      <c r="I11" s="32">
        <v>1</v>
      </c>
      <c r="J11" s="32"/>
      <c r="K11" s="20">
        <v>10</v>
      </c>
      <c r="L11" s="17">
        <f t="shared" si="2"/>
        <v>10</v>
      </c>
      <c r="M11" s="20"/>
      <c r="N11" s="20">
        <v>10</v>
      </c>
      <c r="O11" s="20"/>
      <c r="P11" s="20"/>
      <c r="Q11" s="17">
        <f t="shared" si="3"/>
        <v>11</v>
      </c>
      <c r="R11" s="32">
        <v>1</v>
      </c>
      <c r="S11" s="24">
        <f t="shared" si="4"/>
        <v>11</v>
      </c>
    </row>
    <row r="12" s="3" customFormat="1" spans="1:19">
      <c r="A12" s="19"/>
      <c r="B12" s="18"/>
      <c r="C12" s="18"/>
      <c r="D12" s="18" t="s">
        <v>54</v>
      </c>
      <c r="E12" s="20"/>
      <c r="F12" s="20"/>
      <c r="G12" s="20"/>
      <c r="H12" s="19"/>
      <c r="I12" s="32">
        <v>1</v>
      </c>
      <c r="J12" s="32"/>
      <c r="K12" s="20">
        <v>10</v>
      </c>
      <c r="L12" s="17">
        <f t="shared" si="2"/>
        <v>10</v>
      </c>
      <c r="M12" s="20"/>
      <c r="N12" s="20">
        <v>10</v>
      </c>
      <c r="O12" s="20"/>
      <c r="P12" s="20"/>
      <c r="Q12" s="17">
        <f t="shared" si="3"/>
        <v>11</v>
      </c>
      <c r="R12" s="32">
        <v>1</v>
      </c>
      <c r="S12" s="24">
        <f t="shared" si="4"/>
        <v>11</v>
      </c>
    </row>
    <row r="13" s="2" customFormat="1" ht="14.25" spans="1:19">
      <c r="A13" s="14"/>
      <c r="B13" s="15"/>
      <c r="C13" s="15"/>
      <c r="D13" s="15" t="s">
        <v>55</v>
      </c>
      <c r="E13" s="21">
        <f>E14+E23+E26+E32+E39+E44+E51+E56+E64+E69+E76+E88+E91+E96+E80</f>
        <v>20974449</v>
      </c>
      <c r="F13" s="21">
        <f>F14+F23+F26+F32+F39+F44+F51+F56+F64+F69+F76+F88+F91+F96+F80</f>
        <v>943721</v>
      </c>
      <c r="G13" s="21">
        <f>G14+G23+G26+G32+G39+G44+G51+G56+G64+G69+G76+G88+G91+G96+G80</f>
        <v>1962628</v>
      </c>
      <c r="H13" s="21">
        <f>H14+H23+H26+H32+H39+H44+H51+H56+H64+H69+H76+H88+H91+H96+H80</f>
        <v>3925.26</v>
      </c>
      <c r="I13" s="21"/>
      <c r="J13" s="33">
        <f t="shared" ref="J13:Q13" si="5">J14+J23+J26+J32+J39+J44+J51+J56+J64+J69+J76+J88+J91+J96+J80</f>
        <v>3446.39</v>
      </c>
      <c r="K13" s="21">
        <f t="shared" si="5"/>
        <v>2349</v>
      </c>
      <c r="L13" s="21">
        <f t="shared" si="5"/>
        <v>5795.39</v>
      </c>
      <c r="M13" s="21">
        <f t="shared" si="5"/>
        <v>1080</v>
      </c>
      <c r="N13" s="21">
        <f t="shared" si="5"/>
        <v>855</v>
      </c>
      <c r="O13" s="21">
        <f t="shared" si="5"/>
        <v>285</v>
      </c>
      <c r="P13" s="21">
        <f t="shared" si="5"/>
        <v>0</v>
      </c>
      <c r="Q13" s="21">
        <f t="shared" si="5"/>
        <v>9782.7</v>
      </c>
      <c r="R13" s="21"/>
      <c r="S13" s="21">
        <f>S14+S23+S26+S32+S39+S44+S51+S56+S64+S69+S76+S88+S91+S96+S80</f>
        <v>8627</v>
      </c>
    </row>
    <row r="14" s="4" customFormat="1" ht="14.25" spans="1:19">
      <c r="A14" s="22">
        <v>73</v>
      </c>
      <c r="B14" s="22">
        <v>440200</v>
      </c>
      <c r="C14" s="22" t="s">
        <v>56</v>
      </c>
      <c r="D14" s="23" t="s">
        <v>57</v>
      </c>
      <c r="E14" s="21">
        <f>SUM(E15:E22)</f>
        <v>1074160</v>
      </c>
      <c r="F14" s="21">
        <f>SUM(F15:F22)</f>
        <v>49420</v>
      </c>
      <c r="G14" s="21">
        <f>SUM(G15:G22)</f>
        <v>100356</v>
      </c>
      <c r="H14" s="21">
        <f>SUM(H15:H22)</f>
        <v>200.71</v>
      </c>
      <c r="I14" s="21"/>
      <c r="J14" s="33">
        <f t="shared" ref="J14:Q14" si="6">SUM(J15:J22)</f>
        <v>178.86</v>
      </c>
      <c r="K14" s="21">
        <f t="shared" si="6"/>
        <v>275</v>
      </c>
      <c r="L14" s="21">
        <f t="shared" si="6"/>
        <v>453.86</v>
      </c>
      <c r="M14" s="21">
        <f t="shared" si="6"/>
        <v>120</v>
      </c>
      <c r="N14" s="21">
        <f t="shared" si="6"/>
        <v>105</v>
      </c>
      <c r="O14" s="21">
        <f t="shared" si="6"/>
        <v>35</v>
      </c>
      <c r="P14" s="21">
        <f t="shared" si="6"/>
        <v>0</v>
      </c>
      <c r="Q14" s="21">
        <f t="shared" si="6"/>
        <v>661.67</v>
      </c>
      <c r="R14" s="21"/>
      <c r="S14" s="21">
        <f>SUM(S15:S22)</f>
        <v>590</v>
      </c>
    </row>
    <row r="15" s="4" customFormat="1" spans="1:19">
      <c r="A15" s="22"/>
      <c r="B15" s="22"/>
      <c r="C15" s="22"/>
      <c r="D15" s="10" t="s">
        <v>58</v>
      </c>
      <c r="E15" s="21"/>
      <c r="F15" s="21"/>
      <c r="G15" s="21"/>
      <c r="H15" s="22"/>
      <c r="I15" s="32">
        <v>0.85</v>
      </c>
      <c r="J15" s="32"/>
      <c r="K15" s="24">
        <v>16</v>
      </c>
      <c r="L15" s="17">
        <f t="shared" ref="L15:L22" si="7">ROUND(J15+K15,2)</f>
        <v>16</v>
      </c>
      <c r="M15" s="24">
        <v>15</v>
      </c>
      <c r="N15" s="21"/>
      <c r="O15" s="21"/>
      <c r="P15" s="21"/>
      <c r="Q15" s="17">
        <f t="shared" ref="Q15:Q22" si="8">SUM(H15:K15)</f>
        <v>16.85</v>
      </c>
      <c r="R15" s="32">
        <v>0.85</v>
      </c>
      <c r="S15" s="24">
        <f t="shared" ref="S15:S22" si="9">ROUND(Q15*R15,0)</f>
        <v>14</v>
      </c>
    </row>
    <row r="16" s="1" customFormat="1" spans="1:19">
      <c r="A16" s="10">
        <v>2</v>
      </c>
      <c r="B16" s="10">
        <v>440222</v>
      </c>
      <c r="C16" s="10" t="s">
        <v>56</v>
      </c>
      <c r="D16" s="10" t="s">
        <v>59</v>
      </c>
      <c r="E16" s="24">
        <f>VLOOKUP(D16,[1]摸底数!B:D,3,0)</f>
        <v>122510</v>
      </c>
      <c r="F16" s="24">
        <f>VLOOKUP(D16,[1]摸底数!B:G,6,0)</f>
        <v>4598</v>
      </c>
      <c r="G16" s="25">
        <f t="shared" ref="G16:G22" si="10">ROUND((E16-F16/0.7)*0.1,0)</f>
        <v>11594</v>
      </c>
      <c r="H16" s="26">
        <f t="shared" ref="H16:H22" si="11">ROUND(G16*20/10000,2)</f>
        <v>23.19</v>
      </c>
      <c r="I16" s="32">
        <v>0.85</v>
      </c>
      <c r="J16" s="34">
        <f t="shared" ref="J16:J22" si="12">ROUND(H16*I16,2)</f>
        <v>19.71</v>
      </c>
      <c r="K16" s="24">
        <v>37</v>
      </c>
      <c r="L16" s="17">
        <f t="shared" si="7"/>
        <v>56.71</v>
      </c>
      <c r="M16" s="24">
        <v>15</v>
      </c>
      <c r="N16" s="24">
        <v>15</v>
      </c>
      <c r="O16" s="24">
        <v>5</v>
      </c>
      <c r="P16" s="24"/>
      <c r="Q16" s="17">
        <f t="shared" si="8"/>
        <v>80.75</v>
      </c>
      <c r="R16" s="32">
        <v>0.85</v>
      </c>
      <c r="S16" s="24">
        <f t="shared" si="9"/>
        <v>69</v>
      </c>
    </row>
    <row r="17" s="1" customFormat="1" spans="1:19">
      <c r="A17" s="10">
        <v>3</v>
      </c>
      <c r="B17" s="10">
        <v>440224</v>
      </c>
      <c r="C17" s="10" t="s">
        <v>56</v>
      </c>
      <c r="D17" s="10" t="s">
        <v>60</v>
      </c>
      <c r="E17" s="24">
        <f>VLOOKUP(D17,[1]摸底数!B:D,3,0)</f>
        <v>120900</v>
      </c>
      <c r="F17" s="24">
        <f>VLOOKUP(D17,[1]摸底数!B:G,6,0)</f>
        <v>6625</v>
      </c>
      <c r="G17" s="25">
        <f t="shared" si="10"/>
        <v>11144</v>
      </c>
      <c r="H17" s="26">
        <f t="shared" si="11"/>
        <v>22.29</v>
      </c>
      <c r="I17" s="32">
        <v>0.85</v>
      </c>
      <c r="J17" s="34">
        <f t="shared" si="12"/>
        <v>18.95</v>
      </c>
      <c r="K17" s="24">
        <v>37</v>
      </c>
      <c r="L17" s="17">
        <f t="shared" si="7"/>
        <v>55.95</v>
      </c>
      <c r="M17" s="24">
        <v>15</v>
      </c>
      <c r="N17" s="24">
        <v>15</v>
      </c>
      <c r="O17" s="24">
        <v>5</v>
      </c>
      <c r="P17" s="24"/>
      <c r="Q17" s="17">
        <f t="shared" si="8"/>
        <v>79.09</v>
      </c>
      <c r="R17" s="32">
        <v>0.85</v>
      </c>
      <c r="S17" s="24">
        <f t="shared" si="9"/>
        <v>67</v>
      </c>
    </row>
    <row r="18" s="1" customFormat="1" spans="1:19">
      <c r="A18" s="10">
        <v>4</v>
      </c>
      <c r="B18" s="10">
        <v>440229</v>
      </c>
      <c r="C18" s="10" t="s">
        <v>56</v>
      </c>
      <c r="D18" s="10" t="s">
        <v>61</v>
      </c>
      <c r="E18" s="24">
        <f>VLOOKUP(D18,[1]摸底数!B:D,3,0)</f>
        <v>188220</v>
      </c>
      <c r="F18" s="24">
        <f>VLOOKUP(D18,[1]摸底数!B:G,6,0)</f>
        <v>7711</v>
      </c>
      <c r="G18" s="25">
        <f t="shared" si="10"/>
        <v>17720</v>
      </c>
      <c r="H18" s="26">
        <f t="shared" si="11"/>
        <v>35.44</v>
      </c>
      <c r="I18" s="32">
        <v>0.85</v>
      </c>
      <c r="J18" s="34">
        <f t="shared" si="12"/>
        <v>30.12</v>
      </c>
      <c r="K18" s="24">
        <v>37</v>
      </c>
      <c r="L18" s="17">
        <f t="shared" si="7"/>
        <v>67.12</v>
      </c>
      <c r="M18" s="24">
        <v>15</v>
      </c>
      <c r="N18" s="24">
        <v>15</v>
      </c>
      <c r="O18" s="24">
        <v>5</v>
      </c>
      <c r="P18" s="24"/>
      <c r="Q18" s="17">
        <f t="shared" si="8"/>
        <v>103.41</v>
      </c>
      <c r="R18" s="32">
        <v>0.85</v>
      </c>
      <c r="S18" s="24">
        <f t="shared" si="9"/>
        <v>88</v>
      </c>
    </row>
    <row r="19" s="1" customFormat="1" spans="1:19">
      <c r="A19" s="10">
        <v>5</v>
      </c>
      <c r="B19" s="10">
        <v>440232</v>
      </c>
      <c r="C19" s="10" t="s">
        <v>56</v>
      </c>
      <c r="D19" s="10" t="s">
        <v>62</v>
      </c>
      <c r="E19" s="24">
        <f>VLOOKUP(D19,[1]摸底数!B:D,3,0)</f>
        <v>120021</v>
      </c>
      <c r="F19" s="24">
        <f>VLOOKUP(D19,[1]摸底数!B:G,6,0)</f>
        <v>10263</v>
      </c>
      <c r="G19" s="25">
        <f t="shared" si="10"/>
        <v>10536</v>
      </c>
      <c r="H19" s="26">
        <f t="shared" si="11"/>
        <v>21.07</v>
      </c>
      <c r="I19" s="32">
        <v>1</v>
      </c>
      <c r="J19" s="34">
        <f t="shared" si="12"/>
        <v>21.07</v>
      </c>
      <c r="K19" s="24">
        <v>37</v>
      </c>
      <c r="L19" s="17">
        <f t="shared" si="7"/>
        <v>58.07</v>
      </c>
      <c r="M19" s="24">
        <v>15</v>
      </c>
      <c r="N19" s="24">
        <v>15</v>
      </c>
      <c r="O19" s="24">
        <v>5</v>
      </c>
      <c r="P19" s="24"/>
      <c r="Q19" s="17">
        <f t="shared" si="8"/>
        <v>80.14</v>
      </c>
      <c r="R19" s="32">
        <v>1</v>
      </c>
      <c r="S19" s="24">
        <f t="shared" si="9"/>
        <v>80</v>
      </c>
    </row>
    <row r="20" s="1" customFormat="1" spans="1:19">
      <c r="A20" s="10">
        <v>6</v>
      </c>
      <c r="B20" s="10">
        <v>440233</v>
      </c>
      <c r="C20" s="10" t="s">
        <v>56</v>
      </c>
      <c r="D20" s="10" t="s">
        <v>63</v>
      </c>
      <c r="E20" s="24">
        <f>VLOOKUP(D20,[1]摸底数!B:D,3,0)</f>
        <v>116590</v>
      </c>
      <c r="F20" s="24">
        <f>VLOOKUP(D20,[1]摸底数!B:G,6,0)</f>
        <v>2266</v>
      </c>
      <c r="G20" s="25">
        <f t="shared" si="10"/>
        <v>11335</v>
      </c>
      <c r="H20" s="26">
        <f t="shared" si="11"/>
        <v>22.67</v>
      </c>
      <c r="I20" s="32">
        <v>0.85</v>
      </c>
      <c r="J20" s="34">
        <f t="shared" si="12"/>
        <v>19.27</v>
      </c>
      <c r="K20" s="24">
        <v>37</v>
      </c>
      <c r="L20" s="17">
        <f t="shared" si="7"/>
        <v>56.27</v>
      </c>
      <c r="M20" s="24">
        <v>15</v>
      </c>
      <c r="N20" s="24">
        <v>15</v>
      </c>
      <c r="O20" s="24">
        <v>5</v>
      </c>
      <c r="P20" s="24"/>
      <c r="Q20" s="17">
        <f t="shared" si="8"/>
        <v>79.79</v>
      </c>
      <c r="R20" s="32">
        <v>0.85</v>
      </c>
      <c r="S20" s="24">
        <f t="shared" si="9"/>
        <v>68</v>
      </c>
    </row>
    <row r="21" s="1" customFormat="1" spans="1:19">
      <c r="A21" s="10">
        <v>7</v>
      </c>
      <c r="B21" s="10">
        <v>440281</v>
      </c>
      <c r="C21" s="10" t="s">
        <v>56</v>
      </c>
      <c r="D21" s="10" t="s">
        <v>64</v>
      </c>
      <c r="E21" s="24">
        <f>VLOOKUP(D21,[1]摸底数!B:D,3,0)</f>
        <v>223884</v>
      </c>
      <c r="F21" s="24">
        <f>VLOOKUP(D21,[1]摸底数!B:G,6,0)</f>
        <v>9370</v>
      </c>
      <c r="G21" s="25">
        <f t="shared" si="10"/>
        <v>21050</v>
      </c>
      <c r="H21" s="26">
        <f t="shared" si="11"/>
        <v>42.1</v>
      </c>
      <c r="I21" s="32">
        <v>0.85</v>
      </c>
      <c r="J21" s="34">
        <f t="shared" si="12"/>
        <v>35.79</v>
      </c>
      <c r="K21" s="24">
        <v>37</v>
      </c>
      <c r="L21" s="17">
        <f t="shared" si="7"/>
        <v>72.79</v>
      </c>
      <c r="M21" s="24">
        <v>15</v>
      </c>
      <c r="N21" s="24">
        <v>15</v>
      </c>
      <c r="O21" s="24">
        <v>5</v>
      </c>
      <c r="P21" s="24"/>
      <c r="Q21" s="17">
        <f t="shared" si="8"/>
        <v>115.74</v>
      </c>
      <c r="R21" s="32">
        <v>0.85</v>
      </c>
      <c r="S21" s="24">
        <f t="shared" si="9"/>
        <v>98</v>
      </c>
    </row>
    <row r="22" s="1" customFormat="1" spans="1:19">
      <c r="A22" s="10">
        <v>8</v>
      </c>
      <c r="B22" s="10">
        <v>440282</v>
      </c>
      <c r="C22" s="10" t="s">
        <v>56</v>
      </c>
      <c r="D22" s="10" t="s">
        <v>65</v>
      </c>
      <c r="E22" s="24">
        <f>VLOOKUP(D22,[1]摸底数!B:D,3,0)</f>
        <v>182035</v>
      </c>
      <c r="F22" s="24">
        <f>VLOOKUP(D22,[1]摸底数!B:G,6,0)</f>
        <v>8587</v>
      </c>
      <c r="G22" s="25">
        <f t="shared" si="10"/>
        <v>16977</v>
      </c>
      <c r="H22" s="26">
        <f t="shared" si="11"/>
        <v>33.95</v>
      </c>
      <c r="I22" s="32">
        <v>1</v>
      </c>
      <c r="J22" s="34">
        <f t="shared" si="12"/>
        <v>33.95</v>
      </c>
      <c r="K22" s="24">
        <v>37</v>
      </c>
      <c r="L22" s="17">
        <f t="shared" si="7"/>
        <v>70.95</v>
      </c>
      <c r="M22" s="24">
        <v>15</v>
      </c>
      <c r="N22" s="24">
        <v>15</v>
      </c>
      <c r="O22" s="24">
        <v>5</v>
      </c>
      <c r="P22" s="24"/>
      <c r="Q22" s="17">
        <f t="shared" si="8"/>
        <v>105.9</v>
      </c>
      <c r="R22" s="32">
        <v>1</v>
      </c>
      <c r="S22" s="24">
        <f t="shared" si="9"/>
        <v>106</v>
      </c>
    </row>
    <row r="23" s="4" customFormat="1" ht="14.25" spans="1:19">
      <c r="A23" s="22">
        <v>74</v>
      </c>
      <c r="B23" s="22">
        <v>440500</v>
      </c>
      <c r="C23" s="22" t="s">
        <v>66</v>
      </c>
      <c r="D23" s="23" t="s">
        <v>67</v>
      </c>
      <c r="E23" s="21">
        <f>SUM(E24:E25)</f>
        <v>46196</v>
      </c>
      <c r="F23" s="21">
        <f>SUM(F24:F25)</f>
        <v>712</v>
      </c>
      <c r="G23" s="21">
        <f>SUM(G24:G25)</f>
        <v>4518</v>
      </c>
      <c r="H23" s="21">
        <f>SUM(H24:H25)</f>
        <v>9.04</v>
      </c>
      <c r="I23" s="21"/>
      <c r="J23" s="21">
        <f t="shared" ref="J23:Q23" si="13">SUM(J24:J25)</f>
        <v>7.68</v>
      </c>
      <c r="K23" s="21">
        <f t="shared" si="13"/>
        <v>53</v>
      </c>
      <c r="L23" s="21">
        <f t="shared" si="13"/>
        <v>60.68</v>
      </c>
      <c r="M23" s="21">
        <f t="shared" si="13"/>
        <v>30</v>
      </c>
      <c r="N23" s="21">
        <f t="shared" si="13"/>
        <v>15</v>
      </c>
      <c r="O23" s="21">
        <f t="shared" si="13"/>
        <v>5</v>
      </c>
      <c r="P23" s="21">
        <f t="shared" si="13"/>
        <v>0</v>
      </c>
      <c r="Q23" s="21">
        <f t="shared" si="13"/>
        <v>71.42</v>
      </c>
      <c r="R23" s="21"/>
      <c r="S23" s="21">
        <f>SUM(S24:S25)</f>
        <v>60</v>
      </c>
    </row>
    <row r="24" s="4" customFormat="1" spans="1:19">
      <c r="A24" s="22"/>
      <c r="B24" s="22"/>
      <c r="C24" s="22"/>
      <c r="D24" s="10" t="s">
        <v>58</v>
      </c>
      <c r="E24" s="21"/>
      <c r="F24" s="24"/>
      <c r="G24" s="21"/>
      <c r="H24" s="22"/>
      <c r="I24" s="32">
        <v>0.85</v>
      </c>
      <c r="J24" s="32"/>
      <c r="K24" s="24">
        <v>16</v>
      </c>
      <c r="L24" s="17">
        <f t="shared" ref="L24:L31" si="14">ROUND(J24+K24,2)</f>
        <v>16</v>
      </c>
      <c r="M24" s="24">
        <v>15</v>
      </c>
      <c r="N24" s="21"/>
      <c r="O24" s="21"/>
      <c r="P24" s="21"/>
      <c r="Q24" s="17">
        <f t="shared" ref="Q24:Q31" si="15">SUM(H24:K24)</f>
        <v>16.85</v>
      </c>
      <c r="R24" s="32">
        <v>0.85</v>
      </c>
      <c r="S24" s="24">
        <f t="shared" ref="S24:S31" si="16">ROUND(Q24*R24,0)</f>
        <v>14</v>
      </c>
    </row>
    <row r="25" s="1" customFormat="1" spans="1:19">
      <c r="A25" s="10">
        <v>10</v>
      </c>
      <c r="B25" s="10">
        <v>440523</v>
      </c>
      <c r="C25" s="10" t="s">
        <v>66</v>
      </c>
      <c r="D25" s="10" t="s">
        <v>68</v>
      </c>
      <c r="E25" s="24">
        <f>VLOOKUP(D25,[1]摸底数!B:D,3,0)</f>
        <v>46196</v>
      </c>
      <c r="F25" s="24">
        <f>VLOOKUP(D25,[1]摸底数!B:G,6,0)</f>
        <v>712</v>
      </c>
      <c r="G25" s="25">
        <f t="shared" ref="G25:G31" si="17">ROUND((E25-F25/0.7)*0.1,0)</f>
        <v>4518</v>
      </c>
      <c r="H25" s="26">
        <f t="shared" ref="H25:H31" si="18">ROUND(G25*20/10000,2)</f>
        <v>9.04</v>
      </c>
      <c r="I25" s="32">
        <v>0.85</v>
      </c>
      <c r="J25" s="34">
        <f t="shared" ref="J25:J31" si="19">ROUND(H25*I25,2)</f>
        <v>7.68</v>
      </c>
      <c r="K25" s="24">
        <v>37</v>
      </c>
      <c r="L25" s="17">
        <f t="shared" si="14"/>
        <v>44.68</v>
      </c>
      <c r="M25" s="24">
        <v>15</v>
      </c>
      <c r="N25" s="24">
        <v>15</v>
      </c>
      <c r="O25" s="24">
        <v>5</v>
      </c>
      <c r="P25" s="24"/>
      <c r="Q25" s="17">
        <f t="shared" si="15"/>
        <v>54.57</v>
      </c>
      <c r="R25" s="32">
        <v>0.85</v>
      </c>
      <c r="S25" s="24">
        <f t="shared" si="16"/>
        <v>46</v>
      </c>
    </row>
    <row r="26" s="4" customFormat="1" ht="14.25" spans="1:19">
      <c r="A26" s="22">
        <v>75</v>
      </c>
      <c r="B26" s="22">
        <v>440700</v>
      </c>
      <c r="C26" s="22" t="s">
        <v>69</v>
      </c>
      <c r="D26" s="23" t="s">
        <v>70</v>
      </c>
      <c r="E26" s="21">
        <f>SUM(E27:E31)</f>
        <v>1910085</v>
      </c>
      <c r="F26" s="21">
        <f>SUM(F27:F31)</f>
        <v>135514</v>
      </c>
      <c r="G26" s="21">
        <f>SUM(G27:G31)</f>
        <v>171650</v>
      </c>
      <c r="H26" s="21">
        <f>SUM(H27:H31)</f>
        <v>343.3</v>
      </c>
      <c r="I26" s="21"/>
      <c r="J26" s="21">
        <f t="shared" ref="J26:Q26" si="20">SUM(J27:J31)</f>
        <v>223.14</v>
      </c>
      <c r="K26" s="21">
        <f t="shared" si="20"/>
        <v>164</v>
      </c>
      <c r="L26" s="21">
        <f t="shared" si="20"/>
        <v>387.14</v>
      </c>
      <c r="M26" s="21">
        <f t="shared" si="20"/>
        <v>75</v>
      </c>
      <c r="N26" s="21">
        <f t="shared" si="20"/>
        <v>60</v>
      </c>
      <c r="O26" s="21">
        <f t="shared" si="20"/>
        <v>20</v>
      </c>
      <c r="P26" s="21">
        <f t="shared" si="20"/>
        <v>0</v>
      </c>
      <c r="Q26" s="21">
        <f t="shared" si="20"/>
        <v>733.04</v>
      </c>
      <c r="R26" s="21"/>
      <c r="S26" s="21">
        <f>SUM(S27:S31)</f>
        <v>466</v>
      </c>
    </row>
    <row r="27" s="4" customFormat="1" spans="1:19">
      <c r="A27" s="22"/>
      <c r="B27" s="22"/>
      <c r="C27" s="22"/>
      <c r="D27" s="10" t="s">
        <v>58</v>
      </c>
      <c r="E27" s="21"/>
      <c r="F27" s="24"/>
      <c r="G27" s="21"/>
      <c r="H27" s="22"/>
      <c r="I27" s="24">
        <v>0</v>
      </c>
      <c r="J27" s="24"/>
      <c r="K27" s="24">
        <v>16</v>
      </c>
      <c r="L27" s="17">
        <f t="shared" si="14"/>
        <v>16</v>
      </c>
      <c r="M27" s="24">
        <v>15</v>
      </c>
      <c r="N27" s="21"/>
      <c r="O27" s="21"/>
      <c r="P27" s="21"/>
      <c r="Q27" s="17">
        <f t="shared" si="15"/>
        <v>16</v>
      </c>
      <c r="R27" s="24">
        <v>0</v>
      </c>
      <c r="S27" s="24">
        <f t="shared" si="16"/>
        <v>0</v>
      </c>
    </row>
    <row r="28" s="1" customFormat="1" spans="1:19">
      <c r="A28" s="10">
        <v>12</v>
      </c>
      <c r="B28" s="10">
        <v>440781</v>
      </c>
      <c r="C28" s="10" t="s">
        <v>69</v>
      </c>
      <c r="D28" s="10" t="s">
        <v>71</v>
      </c>
      <c r="E28" s="24">
        <f>VLOOKUP(D28,[1]摸底数!B:D,3,0)</f>
        <v>648417</v>
      </c>
      <c r="F28" s="24">
        <f>VLOOKUP(D28,[1]摸底数!B:G,6,0)</f>
        <v>33006</v>
      </c>
      <c r="G28" s="25">
        <f t="shared" si="17"/>
        <v>60127</v>
      </c>
      <c r="H28" s="26">
        <f t="shared" si="18"/>
        <v>120.25</v>
      </c>
      <c r="I28" s="32">
        <v>0.65</v>
      </c>
      <c r="J28" s="34">
        <f t="shared" si="19"/>
        <v>78.16</v>
      </c>
      <c r="K28" s="24">
        <v>37</v>
      </c>
      <c r="L28" s="17">
        <f t="shared" si="14"/>
        <v>115.16</v>
      </c>
      <c r="M28" s="24">
        <v>15</v>
      </c>
      <c r="N28" s="24">
        <v>15</v>
      </c>
      <c r="O28" s="24">
        <v>5</v>
      </c>
      <c r="P28" s="24"/>
      <c r="Q28" s="17">
        <f t="shared" si="15"/>
        <v>236.06</v>
      </c>
      <c r="R28" s="32">
        <v>0.65</v>
      </c>
      <c r="S28" s="24">
        <f t="shared" si="16"/>
        <v>153</v>
      </c>
    </row>
    <row r="29" s="1" customFormat="1" spans="1:19">
      <c r="A29" s="10">
        <v>13</v>
      </c>
      <c r="B29" s="10">
        <v>440783</v>
      </c>
      <c r="C29" s="10" t="s">
        <v>69</v>
      </c>
      <c r="D29" s="10" t="s">
        <v>72</v>
      </c>
      <c r="E29" s="24">
        <f>VLOOKUP(D29,[1]摸底数!B:D,3,0)</f>
        <v>521740</v>
      </c>
      <c r="F29" s="24">
        <f>VLOOKUP(D29,[1]摸底数!B:G,6,0)</f>
        <v>48264</v>
      </c>
      <c r="G29" s="25">
        <f t="shared" si="17"/>
        <v>45279</v>
      </c>
      <c r="H29" s="26">
        <f t="shared" si="18"/>
        <v>90.56</v>
      </c>
      <c r="I29" s="32">
        <v>0.65</v>
      </c>
      <c r="J29" s="34">
        <f t="shared" si="19"/>
        <v>58.86</v>
      </c>
      <c r="K29" s="24">
        <v>37</v>
      </c>
      <c r="L29" s="17">
        <f t="shared" si="14"/>
        <v>95.86</v>
      </c>
      <c r="M29" s="24">
        <v>15</v>
      </c>
      <c r="N29" s="24">
        <v>15</v>
      </c>
      <c r="O29" s="24">
        <v>5</v>
      </c>
      <c r="P29" s="24"/>
      <c r="Q29" s="17">
        <f t="shared" si="15"/>
        <v>187.07</v>
      </c>
      <c r="R29" s="32">
        <v>0.65</v>
      </c>
      <c r="S29" s="24">
        <f t="shared" si="16"/>
        <v>122</v>
      </c>
    </row>
    <row r="30" s="1" customFormat="1" spans="1:19">
      <c r="A30" s="10">
        <v>14</v>
      </c>
      <c r="B30" s="10">
        <v>440784</v>
      </c>
      <c r="C30" s="10" t="s">
        <v>69</v>
      </c>
      <c r="D30" s="10" t="s">
        <v>73</v>
      </c>
      <c r="E30" s="24">
        <f>VLOOKUP(D30,[1]摸底数!B:D,3,0)</f>
        <v>391945</v>
      </c>
      <c r="F30" s="24">
        <f>VLOOKUP(D30,[1]摸底数!B:G,6,0)</f>
        <v>22155</v>
      </c>
      <c r="G30" s="25">
        <f t="shared" si="17"/>
        <v>36030</v>
      </c>
      <c r="H30" s="26">
        <f t="shared" si="18"/>
        <v>72.06</v>
      </c>
      <c r="I30" s="32">
        <v>0.65</v>
      </c>
      <c r="J30" s="34">
        <f t="shared" si="19"/>
        <v>46.84</v>
      </c>
      <c r="K30" s="24">
        <v>37</v>
      </c>
      <c r="L30" s="17">
        <f t="shared" si="14"/>
        <v>83.84</v>
      </c>
      <c r="M30" s="24">
        <v>15</v>
      </c>
      <c r="N30" s="24">
        <v>15</v>
      </c>
      <c r="O30" s="24">
        <v>5</v>
      </c>
      <c r="P30" s="24"/>
      <c r="Q30" s="17">
        <f t="shared" si="15"/>
        <v>156.55</v>
      </c>
      <c r="R30" s="32">
        <v>0.65</v>
      </c>
      <c r="S30" s="24">
        <f t="shared" si="16"/>
        <v>102</v>
      </c>
    </row>
    <row r="31" s="1" customFormat="1" spans="1:19">
      <c r="A31" s="10">
        <v>15</v>
      </c>
      <c r="B31" s="10">
        <v>440785</v>
      </c>
      <c r="C31" s="10" t="s">
        <v>69</v>
      </c>
      <c r="D31" s="10" t="s">
        <v>74</v>
      </c>
      <c r="E31" s="24">
        <f>VLOOKUP(D31,[1]摸底数!B:D,3,0)</f>
        <v>347983</v>
      </c>
      <c r="F31" s="24">
        <f>VLOOKUP(D31,[1]摸底数!B:G,6,0)</f>
        <v>32089</v>
      </c>
      <c r="G31" s="25">
        <f t="shared" si="17"/>
        <v>30214</v>
      </c>
      <c r="H31" s="26">
        <f t="shared" si="18"/>
        <v>60.43</v>
      </c>
      <c r="I31" s="32">
        <v>0.65</v>
      </c>
      <c r="J31" s="34">
        <f t="shared" si="19"/>
        <v>39.28</v>
      </c>
      <c r="K31" s="24">
        <v>37</v>
      </c>
      <c r="L31" s="17">
        <f t="shared" si="14"/>
        <v>76.28</v>
      </c>
      <c r="M31" s="24">
        <v>15</v>
      </c>
      <c r="N31" s="24">
        <v>15</v>
      </c>
      <c r="O31" s="24">
        <v>5</v>
      </c>
      <c r="P31" s="24"/>
      <c r="Q31" s="17">
        <f t="shared" si="15"/>
        <v>137.36</v>
      </c>
      <c r="R31" s="32">
        <v>0.65</v>
      </c>
      <c r="S31" s="24">
        <f t="shared" si="16"/>
        <v>89</v>
      </c>
    </row>
    <row r="32" s="4" customFormat="1" ht="14.25" spans="1:19">
      <c r="A32" s="22">
        <v>76</v>
      </c>
      <c r="B32" s="22">
        <v>440800</v>
      </c>
      <c r="C32" s="22" t="s">
        <v>75</v>
      </c>
      <c r="D32" s="23" t="s">
        <v>76</v>
      </c>
      <c r="E32" s="21">
        <f>SUM(E33:E38)</f>
        <v>3079356</v>
      </c>
      <c r="F32" s="21">
        <f>SUM(F33:F38)</f>
        <v>135836</v>
      </c>
      <c r="G32" s="21">
        <f>SUM(G33:G38)</f>
        <v>288530</v>
      </c>
      <c r="H32" s="21">
        <f>SUM(H33:H38)</f>
        <v>577.06</v>
      </c>
      <c r="I32" s="21"/>
      <c r="J32" s="21">
        <f t="shared" ref="J32:Q32" si="21">SUM(J33:J38)</f>
        <v>490.51</v>
      </c>
      <c r="K32" s="21">
        <f t="shared" si="21"/>
        <v>201</v>
      </c>
      <c r="L32" s="21">
        <f t="shared" si="21"/>
        <v>691.51</v>
      </c>
      <c r="M32" s="21">
        <f t="shared" si="21"/>
        <v>90</v>
      </c>
      <c r="N32" s="21">
        <f t="shared" si="21"/>
        <v>75</v>
      </c>
      <c r="O32" s="21">
        <f t="shared" si="21"/>
        <v>25</v>
      </c>
      <c r="P32" s="21">
        <f t="shared" si="21"/>
        <v>0</v>
      </c>
      <c r="Q32" s="21">
        <f t="shared" si="21"/>
        <v>1273.67</v>
      </c>
      <c r="R32" s="21"/>
      <c r="S32" s="21">
        <f>SUM(S33:S38)</f>
        <v>1082</v>
      </c>
    </row>
    <row r="33" s="4" customFormat="1" spans="1:19">
      <c r="A33" s="22"/>
      <c r="B33" s="22"/>
      <c r="C33" s="22"/>
      <c r="D33" s="10" t="s">
        <v>58</v>
      </c>
      <c r="E33" s="21"/>
      <c r="F33" s="24"/>
      <c r="G33" s="21"/>
      <c r="H33" s="22"/>
      <c r="I33" s="32">
        <v>0.85</v>
      </c>
      <c r="J33" s="32"/>
      <c r="K33" s="24">
        <v>16</v>
      </c>
      <c r="L33" s="17">
        <f t="shared" ref="L33:L38" si="22">ROUND(J33+K33,2)</f>
        <v>16</v>
      </c>
      <c r="M33" s="24">
        <v>15</v>
      </c>
      <c r="N33" s="21"/>
      <c r="O33" s="21"/>
      <c r="P33" s="21"/>
      <c r="Q33" s="17">
        <f t="shared" ref="Q33:Q38" si="23">SUM(H33:K33)</f>
        <v>16.85</v>
      </c>
      <c r="R33" s="32">
        <v>0.85</v>
      </c>
      <c r="S33" s="24">
        <f t="shared" ref="S33:S38" si="24">ROUND(Q33*R33,0)</f>
        <v>14</v>
      </c>
    </row>
    <row r="34" s="1" customFormat="1" spans="1:19">
      <c r="A34" s="10">
        <v>17</v>
      </c>
      <c r="B34" s="10">
        <v>440823</v>
      </c>
      <c r="C34" s="10" t="s">
        <v>75</v>
      </c>
      <c r="D34" s="10" t="s">
        <v>77</v>
      </c>
      <c r="E34" s="24">
        <f>VLOOKUP(D34,[1]摸底数!B:D,3,0)</f>
        <v>497405</v>
      </c>
      <c r="F34" s="24">
        <f>VLOOKUP(D34,[1]摸底数!B:G,6,0)</f>
        <v>18499</v>
      </c>
      <c r="G34" s="25">
        <f t="shared" ref="G34:G38" si="25">ROUND((E34-F34/0.7)*0.1,0)</f>
        <v>47098</v>
      </c>
      <c r="H34" s="26">
        <f t="shared" ref="H34:H38" si="26">ROUND(G34*20/10000,2)</f>
        <v>94.2</v>
      </c>
      <c r="I34" s="32">
        <v>0.85</v>
      </c>
      <c r="J34" s="34">
        <f t="shared" ref="J34:J38" si="27">ROUND(H34*I34,2)</f>
        <v>80.07</v>
      </c>
      <c r="K34" s="24">
        <v>37</v>
      </c>
      <c r="L34" s="17">
        <f t="shared" si="22"/>
        <v>117.07</v>
      </c>
      <c r="M34" s="24">
        <v>15</v>
      </c>
      <c r="N34" s="24">
        <v>15</v>
      </c>
      <c r="O34" s="24">
        <v>5</v>
      </c>
      <c r="P34" s="24"/>
      <c r="Q34" s="17">
        <f t="shared" si="23"/>
        <v>212.12</v>
      </c>
      <c r="R34" s="32">
        <v>0.85</v>
      </c>
      <c r="S34" s="24">
        <f t="shared" si="24"/>
        <v>180</v>
      </c>
    </row>
    <row r="35" s="1" customFormat="1" spans="1:19">
      <c r="A35" s="10">
        <v>18</v>
      </c>
      <c r="B35" s="10">
        <v>440825</v>
      </c>
      <c r="C35" s="10" t="s">
        <v>75</v>
      </c>
      <c r="D35" s="10" t="s">
        <v>78</v>
      </c>
      <c r="E35" s="24">
        <f>VLOOKUP(D35,[1]摸底数!B:D,3,0)</f>
        <v>454269</v>
      </c>
      <c r="F35" s="24">
        <f>VLOOKUP(D35,[1]摸底数!B:G,6,0)</f>
        <v>18583</v>
      </c>
      <c r="G35" s="25">
        <f t="shared" si="25"/>
        <v>42772</v>
      </c>
      <c r="H35" s="26">
        <f t="shared" si="26"/>
        <v>85.54</v>
      </c>
      <c r="I35" s="32">
        <v>0.85</v>
      </c>
      <c r="J35" s="34">
        <f t="shared" si="27"/>
        <v>72.71</v>
      </c>
      <c r="K35" s="24">
        <v>37</v>
      </c>
      <c r="L35" s="17">
        <f t="shared" si="22"/>
        <v>109.71</v>
      </c>
      <c r="M35" s="24">
        <v>15</v>
      </c>
      <c r="N35" s="24">
        <v>15</v>
      </c>
      <c r="O35" s="24">
        <v>5</v>
      </c>
      <c r="P35" s="24"/>
      <c r="Q35" s="17">
        <f t="shared" si="23"/>
        <v>196.1</v>
      </c>
      <c r="R35" s="32">
        <v>0.85</v>
      </c>
      <c r="S35" s="24">
        <f t="shared" si="24"/>
        <v>167</v>
      </c>
    </row>
    <row r="36" s="1" customFormat="1" spans="1:19">
      <c r="A36" s="10">
        <v>19</v>
      </c>
      <c r="B36" s="10">
        <v>440881</v>
      </c>
      <c r="C36" s="10" t="s">
        <v>75</v>
      </c>
      <c r="D36" s="10" t="s">
        <v>79</v>
      </c>
      <c r="E36" s="24">
        <f>VLOOKUP(D36,[1]摸底数!B:D,3,0)</f>
        <v>801879</v>
      </c>
      <c r="F36" s="24">
        <f>VLOOKUP(D36,[1]摸底数!B:G,6,0)</f>
        <v>28973</v>
      </c>
      <c r="G36" s="25">
        <f t="shared" si="25"/>
        <v>76049</v>
      </c>
      <c r="H36" s="26">
        <f t="shared" si="26"/>
        <v>152.1</v>
      </c>
      <c r="I36" s="32">
        <v>0.85</v>
      </c>
      <c r="J36" s="34">
        <f t="shared" si="27"/>
        <v>129.29</v>
      </c>
      <c r="K36" s="24">
        <v>37</v>
      </c>
      <c r="L36" s="17">
        <f t="shared" si="22"/>
        <v>166.29</v>
      </c>
      <c r="M36" s="24">
        <v>15</v>
      </c>
      <c r="N36" s="24">
        <v>15</v>
      </c>
      <c r="O36" s="24">
        <v>5</v>
      </c>
      <c r="P36" s="24"/>
      <c r="Q36" s="17">
        <f t="shared" si="23"/>
        <v>319.24</v>
      </c>
      <c r="R36" s="32">
        <v>0.85</v>
      </c>
      <c r="S36" s="24">
        <f t="shared" si="24"/>
        <v>271</v>
      </c>
    </row>
    <row r="37" s="1" customFormat="1" spans="1:19">
      <c r="A37" s="10">
        <v>20</v>
      </c>
      <c r="B37" s="10">
        <v>440882</v>
      </c>
      <c r="C37" s="10" t="s">
        <v>75</v>
      </c>
      <c r="D37" s="10" t="s">
        <v>80</v>
      </c>
      <c r="E37" s="24">
        <f>VLOOKUP(D37,[1]摸底数!B:D,3,0)</f>
        <v>775857</v>
      </c>
      <c r="F37" s="24">
        <f>VLOOKUP(D37,[1]摸底数!B:G,6,0)</f>
        <v>16123</v>
      </c>
      <c r="G37" s="25">
        <f t="shared" si="25"/>
        <v>75282</v>
      </c>
      <c r="H37" s="26">
        <f t="shared" si="26"/>
        <v>150.56</v>
      </c>
      <c r="I37" s="32">
        <v>0.85</v>
      </c>
      <c r="J37" s="34">
        <f t="shared" si="27"/>
        <v>127.98</v>
      </c>
      <c r="K37" s="24">
        <v>37</v>
      </c>
      <c r="L37" s="17">
        <f t="shared" si="22"/>
        <v>164.98</v>
      </c>
      <c r="M37" s="24">
        <v>15</v>
      </c>
      <c r="N37" s="24">
        <v>15</v>
      </c>
      <c r="O37" s="24">
        <v>5</v>
      </c>
      <c r="P37" s="24"/>
      <c r="Q37" s="17">
        <f t="shared" si="23"/>
        <v>316.39</v>
      </c>
      <c r="R37" s="32">
        <v>0.85</v>
      </c>
      <c r="S37" s="24">
        <f t="shared" si="24"/>
        <v>269</v>
      </c>
    </row>
    <row r="38" s="1" customFormat="1" spans="1:19">
      <c r="A38" s="10">
        <v>21</v>
      </c>
      <c r="B38" s="10">
        <v>440883</v>
      </c>
      <c r="C38" s="10" t="s">
        <v>75</v>
      </c>
      <c r="D38" s="10" t="s">
        <v>81</v>
      </c>
      <c r="E38" s="24">
        <f>VLOOKUP(D38,[1]摸底数!B:D,3,0)</f>
        <v>549946</v>
      </c>
      <c r="F38" s="24">
        <f>VLOOKUP(D38,[1]摸底数!B:G,6,0)</f>
        <v>53658</v>
      </c>
      <c r="G38" s="25">
        <f t="shared" si="25"/>
        <v>47329</v>
      </c>
      <c r="H38" s="26">
        <f t="shared" si="26"/>
        <v>94.66</v>
      </c>
      <c r="I38" s="32">
        <v>0.85</v>
      </c>
      <c r="J38" s="34">
        <f t="shared" si="27"/>
        <v>80.46</v>
      </c>
      <c r="K38" s="24">
        <v>37</v>
      </c>
      <c r="L38" s="17">
        <f t="shared" si="22"/>
        <v>117.46</v>
      </c>
      <c r="M38" s="24">
        <v>15</v>
      </c>
      <c r="N38" s="24">
        <v>15</v>
      </c>
      <c r="O38" s="24">
        <v>5</v>
      </c>
      <c r="P38" s="24"/>
      <c r="Q38" s="17">
        <f t="shared" si="23"/>
        <v>212.97</v>
      </c>
      <c r="R38" s="32">
        <v>0.85</v>
      </c>
      <c r="S38" s="24">
        <f t="shared" si="24"/>
        <v>181</v>
      </c>
    </row>
    <row r="39" s="4" customFormat="1" ht="14.25" spans="1:19">
      <c r="A39" s="22">
        <v>77</v>
      </c>
      <c r="B39" s="22">
        <v>440900</v>
      </c>
      <c r="C39" s="22" t="s">
        <v>82</v>
      </c>
      <c r="D39" s="23" t="s">
        <v>83</v>
      </c>
      <c r="E39" s="21">
        <f>SUM(E40:E43)</f>
        <v>1860263</v>
      </c>
      <c r="F39" s="21">
        <f>SUM(F40:F43)</f>
        <v>80589</v>
      </c>
      <c r="G39" s="21">
        <f>SUM(G40:G43)</f>
        <v>174513</v>
      </c>
      <c r="H39" s="21">
        <f>SUM(H40:H43)</f>
        <v>349.03</v>
      </c>
      <c r="I39" s="21"/>
      <c r="J39" s="21">
        <f t="shared" ref="J39:Q39" si="28">SUM(J40:J43)</f>
        <v>296.67</v>
      </c>
      <c r="K39" s="21">
        <f t="shared" si="28"/>
        <v>127</v>
      </c>
      <c r="L39" s="21">
        <f t="shared" si="28"/>
        <v>423.67</v>
      </c>
      <c r="M39" s="21">
        <f t="shared" si="28"/>
        <v>60</v>
      </c>
      <c r="N39" s="21">
        <f t="shared" si="28"/>
        <v>45</v>
      </c>
      <c r="O39" s="21">
        <f t="shared" si="28"/>
        <v>15</v>
      </c>
      <c r="P39" s="21">
        <f t="shared" si="28"/>
        <v>0</v>
      </c>
      <c r="Q39" s="21">
        <f t="shared" si="28"/>
        <v>776.1</v>
      </c>
      <c r="R39" s="21"/>
      <c r="S39" s="21">
        <f>SUM(S40:S43)</f>
        <v>659</v>
      </c>
    </row>
    <row r="40" s="4" customFormat="1" spans="1:19">
      <c r="A40" s="22"/>
      <c r="B40" s="22"/>
      <c r="C40" s="22"/>
      <c r="D40" s="10" t="s">
        <v>58</v>
      </c>
      <c r="E40" s="21"/>
      <c r="F40" s="24"/>
      <c r="G40" s="21"/>
      <c r="H40" s="22"/>
      <c r="I40" s="32">
        <v>0.85</v>
      </c>
      <c r="J40" s="32"/>
      <c r="K40" s="24">
        <v>16</v>
      </c>
      <c r="L40" s="17">
        <f t="shared" ref="L40:L43" si="29">ROUND(J40+K40,2)</f>
        <v>16</v>
      </c>
      <c r="M40" s="24">
        <v>15</v>
      </c>
      <c r="N40" s="21"/>
      <c r="O40" s="21"/>
      <c r="P40" s="21"/>
      <c r="Q40" s="17">
        <f t="shared" ref="Q40:Q43" si="30">SUM(H40:K40)</f>
        <v>16.85</v>
      </c>
      <c r="R40" s="32">
        <v>0.85</v>
      </c>
      <c r="S40" s="24">
        <f t="shared" ref="S40:S43" si="31">ROUND(Q40*R40,0)</f>
        <v>14</v>
      </c>
    </row>
    <row r="41" s="1" customFormat="1" spans="1:19">
      <c r="A41" s="10">
        <v>23</v>
      </c>
      <c r="B41" s="10">
        <v>440981</v>
      </c>
      <c r="C41" s="10" t="s">
        <v>82</v>
      </c>
      <c r="D41" s="10" t="s">
        <v>84</v>
      </c>
      <c r="E41" s="24">
        <f>VLOOKUP(D41,[1]摸底数!B:D,3,0)</f>
        <v>712309</v>
      </c>
      <c r="F41" s="24">
        <f>VLOOKUP(D41,[1]摸底数!B:G,6,0)</f>
        <v>35048</v>
      </c>
      <c r="G41" s="25">
        <f t="shared" ref="G41:G43" si="32">ROUND((E41-F41/0.7)*0.1,0)</f>
        <v>66224</v>
      </c>
      <c r="H41" s="26">
        <f t="shared" ref="H41:H43" si="33">ROUND(G41*20/10000,2)</f>
        <v>132.45</v>
      </c>
      <c r="I41" s="32">
        <v>0.85</v>
      </c>
      <c r="J41" s="34">
        <f t="shared" ref="J41:J43" si="34">ROUND(H41*I41,2)</f>
        <v>112.58</v>
      </c>
      <c r="K41" s="24">
        <v>37</v>
      </c>
      <c r="L41" s="17">
        <f t="shared" si="29"/>
        <v>149.58</v>
      </c>
      <c r="M41" s="24">
        <v>15</v>
      </c>
      <c r="N41" s="24">
        <v>15</v>
      </c>
      <c r="O41" s="24">
        <v>5</v>
      </c>
      <c r="P41" s="24"/>
      <c r="Q41" s="17">
        <f t="shared" si="30"/>
        <v>282.88</v>
      </c>
      <c r="R41" s="32">
        <v>0.85</v>
      </c>
      <c r="S41" s="24">
        <f t="shared" si="31"/>
        <v>240</v>
      </c>
    </row>
    <row r="42" s="1" customFormat="1" spans="1:19">
      <c r="A42" s="10">
        <v>24</v>
      </c>
      <c r="B42" s="10">
        <v>440982</v>
      </c>
      <c r="C42" s="10" t="s">
        <v>82</v>
      </c>
      <c r="D42" s="10" t="s">
        <v>85</v>
      </c>
      <c r="E42" s="24">
        <f>VLOOKUP(D42,[1]摸底数!B:D,3,0)</f>
        <v>614131</v>
      </c>
      <c r="F42" s="24">
        <f>VLOOKUP(D42,[1]摸底数!B:G,6,0)</f>
        <v>19558</v>
      </c>
      <c r="G42" s="25">
        <f t="shared" si="32"/>
        <v>58619</v>
      </c>
      <c r="H42" s="26">
        <f t="shared" si="33"/>
        <v>117.24</v>
      </c>
      <c r="I42" s="32">
        <v>0.85</v>
      </c>
      <c r="J42" s="34">
        <f t="shared" si="34"/>
        <v>99.65</v>
      </c>
      <c r="K42" s="24">
        <v>37</v>
      </c>
      <c r="L42" s="17">
        <f t="shared" si="29"/>
        <v>136.65</v>
      </c>
      <c r="M42" s="24">
        <v>15</v>
      </c>
      <c r="N42" s="24">
        <v>15</v>
      </c>
      <c r="O42" s="24">
        <v>5</v>
      </c>
      <c r="P42" s="24"/>
      <c r="Q42" s="17">
        <f t="shared" si="30"/>
        <v>254.74</v>
      </c>
      <c r="R42" s="32">
        <v>0.85</v>
      </c>
      <c r="S42" s="24">
        <f t="shared" si="31"/>
        <v>217</v>
      </c>
    </row>
    <row r="43" s="1" customFormat="1" spans="1:19">
      <c r="A43" s="10">
        <v>25</v>
      </c>
      <c r="B43" s="10">
        <v>440983</v>
      </c>
      <c r="C43" s="10" t="s">
        <v>82</v>
      </c>
      <c r="D43" s="10" t="s">
        <v>86</v>
      </c>
      <c r="E43" s="24">
        <f>VLOOKUP(D43,[1]摸底数!B:D,3,0)</f>
        <v>533823</v>
      </c>
      <c r="F43" s="24">
        <f>VLOOKUP(D43,[1]摸底数!B:G,6,0)</f>
        <v>25983</v>
      </c>
      <c r="G43" s="25">
        <f t="shared" si="32"/>
        <v>49670</v>
      </c>
      <c r="H43" s="26">
        <f t="shared" si="33"/>
        <v>99.34</v>
      </c>
      <c r="I43" s="32">
        <v>0.85</v>
      </c>
      <c r="J43" s="34">
        <f t="shared" si="34"/>
        <v>84.44</v>
      </c>
      <c r="K43" s="24">
        <v>37</v>
      </c>
      <c r="L43" s="17">
        <f t="shared" si="29"/>
        <v>121.44</v>
      </c>
      <c r="M43" s="24">
        <v>15</v>
      </c>
      <c r="N43" s="24">
        <v>15</v>
      </c>
      <c r="O43" s="24">
        <v>5</v>
      </c>
      <c r="P43" s="24"/>
      <c r="Q43" s="17">
        <f t="shared" si="30"/>
        <v>221.63</v>
      </c>
      <c r="R43" s="32">
        <v>0.85</v>
      </c>
      <c r="S43" s="24">
        <f t="shared" si="31"/>
        <v>188</v>
      </c>
    </row>
    <row r="44" s="4" customFormat="1" ht="14.25" spans="1:19">
      <c r="A44" s="22">
        <v>78</v>
      </c>
      <c r="B44" s="22">
        <v>441200</v>
      </c>
      <c r="C44" s="22" t="s">
        <v>87</v>
      </c>
      <c r="D44" s="23" t="s">
        <v>88</v>
      </c>
      <c r="E44" s="21">
        <f>SUM(E45:E50)</f>
        <v>1384019</v>
      </c>
      <c r="F44" s="21">
        <f>SUM(F45:F50)</f>
        <v>71147</v>
      </c>
      <c r="G44" s="21">
        <f>SUM(G45:G50)</f>
        <v>128238</v>
      </c>
      <c r="H44" s="21">
        <f>SUM(H45:H50)</f>
        <v>256.48</v>
      </c>
      <c r="I44" s="21"/>
      <c r="J44" s="21">
        <f t="shared" ref="J44:Q44" si="35">SUM(J45:J50)</f>
        <v>205.19</v>
      </c>
      <c r="K44" s="21">
        <f t="shared" si="35"/>
        <v>201</v>
      </c>
      <c r="L44" s="21">
        <f t="shared" si="35"/>
        <v>406.19</v>
      </c>
      <c r="M44" s="21">
        <f t="shared" si="35"/>
        <v>90</v>
      </c>
      <c r="N44" s="21">
        <f t="shared" si="35"/>
        <v>75</v>
      </c>
      <c r="O44" s="21">
        <f t="shared" si="35"/>
        <v>25</v>
      </c>
      <c r="P44" s="21">
        <f t="shared" si="35"/>
        <v>0</v>
      </c>
      <c r="Q44" s="21">
        <f t="shared" si="35"/>
        <v>667.37</v>
      </c>
      <c r="R44" s="21"/>
      <c r="S44" s="21">
        <f>SUM(S45:S50)</f>
        <v>535</v>
      </c>
    </row>
    <row r="45" s="4" customFormat="1" spans="1:19">
      <c r="A45" s="22"/>
      <c r="B45" s="22"/>
      <c r="C45" s="22"/>
      <c r="D45" s="10" t="s">
        <v>58</v>
      </c>
      <c r="E45" s="21"/>
      <c r="F45" s="24"/>
      <c r="G45" s="21"/>
      <c r="H45" s="22"/>
      <c r="I45" s="32">
        <v>0.65</v>
      </c>
      <c r="J45" s="32"/>
      <c r="K45" s="24">
        <v>16</v>
      </c>
      <c r="L45" s="17">
        <f t="shared" ref="L45:L50" si="36">ROUND(J45+K45,2)</f>
        <v>16</v>
      </c>
      <c r="M45" s="24">
        <v>15</v>
      </c>
      <c r="N45" s="21"/>
      <c r="O45" s="21"/>
      <c r="P45" s="21"/>
      <c r="Q45" s="17">
        <f t="shared" ref="Q45:Q50" si="37">SUM(H45:K45)</f>
        <v>16.65</v>
      </c>
      <c r="R45" s="32">
        <v>0.65</v>
      </c>
      <c r="S45" s="24">
        <f t="shared" ref="S45:S50" si="38">ROUND(Q45*R45,0)</f>
        <v>11</v>
      </c>
    </row>
    <row r="46" s="1" customFormat="1" spans="1:19">
      <c r="A46" s="10">
        <v>27</v>
      </c>
      <c r="B46" s="10">
        <v>441223</v>
      </c>
      <c r="C46" s="10" t="s">
        <v>87</v>
      </c>
      <c r="D46" s="10" t="s">
        <v>89</v>
      </c>
      <c r="E46" s="24">
        <f>VLOOKUP(D46,[1]摸底数!B:D,3,0)</f>
        <v>254266</v>
      </c>
      <c r="F46" s="24">
        <f>VLOOKUP(D46,[1]摸底数!B:G,6,0)</f>
        <v>14149</v>
      </c>
      <c r="G46" s="25">
        <f t="shared" ref="G46:G50" si="39">ROUND((E46-F46/0.7)*0.1,0)</f>
        <v>23405</v>
      </c>
      <c r="H46" s="26">
        <f t="shared" ref="H46:H50" si="40">ROUND(G46*20/10000,2)</f>
        <v>46.81</v>
      </c>
      <c r="I46" s="32">
        <v>0.85</v>
      </c>
      <c r="J46" s="34">
        <f t="shared" ref="J46:J50" si="41">ROUND(H46*I46,2)</f>
        <v>39.79</v>
      </c>
      <c r="K46" s="24">
        <v>37</v>
      </c>
      <c r="L46" s="17">
        <f t="shared" si="36"/>
        <v>76.79</v>
      </c>
      <c r="M46" s="24">
        <v>15</v>
      </c>
      <c r="N46" s="24">
        <v>15</v>
      </c>
      <c r="O46" s="24">
        <v>5</v>
      </c>
      <c r="P46" s="24"/>
      <c r="Q46" s="17">
        <f t="shared" si="37"/>
        <v>124.45</v>
      </c>
      <c r="R46" s="32">
        <v>0.85</v>
      </c>
      <c r="S46" s="24">
        <f t="shared" si="38"/>
        <v>106</v>
      </c>
    </row>
    <row r="47" s="1" customFormat="1" spans="1:19">
      <c r="A47" s="10">
        <v>28</v>
      </c>
      <c r="B47" s="10">
        <v>441224</v>
      </c>
      <c r="C47" s="10" t="s">
        <v>87</v>
      </c>
      <c r="D47" s="10" t="s">
        <v>90</v>
      </c>
      <c r="E47" s="24">
        <f>VLOOKUP(D47,[1]摸底数!B:D,3,0)</f>
        <v>386138</v>
      </c>
      <c r="F47" s="24">
        <f>VLOOKUP(D47,[1]摸底数!B:G,6,0)</f>
        <v>23002</v>
      </c>
      <c r="G47" s="25">
        <f t="shared" si="39"/>
        <v>35328</v>
      </c>
      <c r="H47" s="26">
        <f t="shared" si="40"/>
        <v>70.66</v>
      </c>
      <c r="I47" s="32">
        <v>0.85</v>
      </c>
      <c r="J47" s="34">
        <f t="shared" si="41"/>
        <v>60.06</v>
      </c>
      <c r="K47" s="24">
        <v>37</v>
      </c>
      <c r="L47" s="17">
        <f t="shared" si="36"/>
        <v>97.06</v>
      </c>
      <c r="M47" s="24">
        <v>15</v>
      </c>
      <c r="N47" s="24">
        <v>15</v>
      </c>
      <c r="O47" s="24">
        <v>5</v>
      </c>
      <c r="P47" s="24"/>
      <c r="Q47" s="17">
        <f t="shared" si="37"/>
        <v>168.57</v>
      </c>
      <c r="R47" s="32">
        <v>0.85</v>
      </c>
      <c r="S47" s="24">
        <f t="shared" si="38"/>
        <v>143</v>
      </c>
    </row>
    <row r="48" s="1" customFormat="1" spans="1:19">
      <c r="A48" s="10">
        <v>29</v>
      </c>
      <c r="B48" s="10">
        <v>441225</v>
      </c>
      <c r="C48" s="10" t="s">
        <v>87</v>
      </c>
      <c r="D48" s="10" t="s">
        <v>91</v>
      </c>
      <c r="E48" s="24">
        <f>VLOOKUP(D48,[1]摸底数!B:D,3,0)</f>
        <v>196861</v>
      </c>
      <c r="F48" s="24">
        <f>VLOOKUP(D48,[1]摸底数!B:G,6,0)</f>
        <v>14286</v>
      </c>
      <c r="G48" s="25">
        <f t="shared" si="39"/>
        <v>17645</v>
      </c>
      <c r="H48" s="26">
        <f t="shared" si="40"/>
        <v>35.29</v>
      </c>
      <c r="I48" s="32">
        <v>0.85</v>
      </c>
      <c r="J48" s="34">
        <f t="shared" si="41"/>
        <v>30</v>
      </c>
      <c r="K48" s="24">
        <v>37</v>
      </c>
      <c r="L48" s="17">
        <f t="shared" si="36"/>
        <v>67</v>
      </c>
      <c r="M48" s="24">
        <v>15</v>
      </c>
      <c r="N48" s="24">
        <v>15</v>
      </c>
      <c r="O48" s="24">
        <v>5</v>
      </c>
      <c r="P48" s="24"/>
      <c r="Q48" s="17">
        <f t="shared" si="37"/>
        <v>103.14</v>
      </c>
      <c r="R48" s="32">
        <v>0.85</v>
      </c>
      <c r="S48" s="24">
        <f t="shared" si="38"/>
        <v>88</v>
      </c>
    </row>
    <row r="49" s="1" customFormat="1" spans="1:19">
      <c r="A49" s="10">
        <v>30</v>
      </c>
      <c r="B49" s="10">
        <v>441226</v>
      </c>
      <c r="C49" s="10" t="s">
        <v>87</v>
      </c>
      <c r="D49" s="10" t="s">
        <v>92</v>
      </c>
      <c r="E49" s="24">
        <f>VLOOKUP(D49,[1]摸底数!B:D,3,0)</f>
        <v>207985</v>
      </c>
      <c r="F49" s="24">
        <f>VLOOKUP(D49,[1]摸底数!B:G,6,0)</f>
        <v>6944</v>
      </c>
      <c r="G49" s="25">
        <f t="shared" si="39"/>
        <v>19807</v>
      </c>
      <c r="H49" s="26">
        <f t="shared" si="40"/>
        <v>39.61</v>
      </c>
      <c r="I49" s="32">
        <v>0.85</v>
      </c>
      <c r="J49" s="34">
        <f t="shared" si="41"/>
        <v>33.67</v>
      </c>
      <c r="K49" s="24">
        <v>37</v>
      </c>
      <c r="L49" s="17">
        <f t="shared" si="36"/>
        <v>70.67</v>
      </c>
      <c r="M49" s="24">
        <v>15</v>
      </c>
      <c r="N49" s="24">
        <v>15</v>
      </c>
      <c r="O49" s="24">
        <v>5</v>
      </c>
      <c r="P49" s="24"/>
      <c r="Q49" s="17">
        <f t="shared" si="37"/>
        <v>111.13</v>
      </c>
      <c r="R49" s="32">
        <v>0.85</v>
      </c>
      <c r="S49" s="24">
        <f t="shared" si="38"/>
        <v>94</v>
      </c>
    </row>
    <row r="50" s="1" customFormat="1" spans="1:19">
      <c r="A50" s="10">
        <v>31</v>
      </c>
      <c r="B50" s="10">
        <v>441284</v>
      </c>
      <c r="C50" s="10" t="s">
        <v>87</v>
      </c>
      <c r="D50" s="10" t="s">
        <v>93</v>
      </c>
      <c r="E50" s="24">
        <f>VLOOKUP(D50,[1]摸底数!B:D,3,0)</f>
        <v>338769</v>
      </c>
      <c r="F50" s="24">
        <f>VLOOKUP(D50,[1]摸底数!B:G,6,0)</f>
        <v>12766</v>
      </c>
      <c r="G50" s="25">
        <f t="shared" si="39"/>
        <v>32053</v>
      </c>
      <c r="H50" s="26">
        <f t="shared" si="40"/>
        <v>64.11</v>
      </c>
      <c r="I50" s="32">
        <v>0.65</v>
      </c>
      <c r="J50" s="34">
        <f t="shared" si="41"/>
        <v>41.67</v>
      </c>
      <c r="K50" s="24">
        <v>37</v>
      </c>
      <c r="L50" s="17">
        <f t="shared" si="36"/>
        <v>78.67</v>
      </c>
      <c r="M50" s="24">
        <v>15</v>
      </c>
      <c r="N50" s="24">
        <v>15</v>
      </c>
      <c r="O50" s="24">
        <v>5</v>
      </c>
      <c r="P50" s="24"/>
      <c r="Q50" s="17">
        <f t="shared" si="37"/>
        <v>143.43</v>
      </c>
      <c r="R50" s="32">
        <v>0.65</v>
      </c>
      <c r="S50" s="24">
        <f t="shared" si="38"/>
        <v>93</v>
      </c>
    </row>
    <row r="51" s="4" customFormat="1" ht="14.25" spans="1:19">
      <c r="A51" s="22">
        <v>79</v>
      </c>
      <c r="B51" s="22">
        <v>441300</v>
      </c>
      <c r="C51" s="22" t="s">
        <v>94</v>
      </c>
      <c r="D51" s="23" t="s">
        <v>95</v>
      </c>
      <c r="E51" s="21">
        <f>SUM(E52:E55)</f>
        <v>1656785</v>
      </c>
      <c r="F51" s="21">
        <f>SUM(F52:F55)</f>
        <v>45262</v>
      </c>
      <c r="G51" s="21">
        <f>SUM(G52:G55)</f>
        <v>159212</v>
      </c>
      <c r="H51" s="21">
        <f>SUM(H52:H55)</f>
        <v>318.42</v>
      </c>
      <c r="I51" s="21"/>
      <c r="J51" s="21">
        <f t="shared" ref="J51:Q51" si="42">SUM(J52:J55)</f>
        <v>259.12</v>
      </c>
      <c r="K51" s="21">
        <f t="shared" si="42"/>
        <v>127</v>
      </c>
      <c r="L51" s="21">
        <f t="shared" si="42"/>
        <v>386.12</v>
      </c>
      <c r="M51" s="21">
        <f t="shared" si="42"/>
        <v>60</v>
      </c>
      <c r="N51" s="21">
        <f t="shared" si="42"/>
        <v>45</v>
      </c>
      <c r="O51" s="21">
        <f t="shared" si="42"/>
        <v>15</v>
      </c>
      <c r="P51" s="21">
        <f t="shared" si="42"/>
        <v>0</v>
      </c>
      <c r="Q51" s="21">
        <f t="shared" si="42"/>
        <v>707.69</v>
      </c>
      <c r="R51" s="21"/>
      <c r="S51" s="21">
        <f>SUM(S52:S55)</f>
        <v>584</v>
      </c>
    </row>
    <row r="52" s="4" customFormat="1" spans="1:19">
      <c r="A52" s="22"/>
      <c r="B52" s="22"/>
      <c r="C52" s="22"/>
      <c r="D52" s="10" t="s">
        <v>58</v>
      </c>
      <c r="E52" s="21"/>
      <c r="F52" s="24"/>
      <c r="G52" s="21"/>
      <c r="H52" s="22"/>
      <c r="I52" s="32">
        <v>0.65</v>
      </c>
      <c r="J52" s="32"/>
      <c r="K52" s="24">
        <v>16</v>
      </c>
      <c r="L52" s="17">
        <f t="shared" ref="L52:L55" si="43">ROUND(J52+K52,2)</f>
        <v>16</v>
      </c>
      <c r="M52" s="24">
        <v>15</v>
      </c>
      <c r="N52" s="21"/>
      <c r="O52" s="21"/>
      <c r="P52" s="21"/>
      <c r="Q52" s="17">
        <f t="shared" ref="Q52:Q55" si="44">SUM(H52:K52)</f>
        <v>16.65</v>
      </c>
      <c r="R52" s="32">
        <v>0.65</v>
      </c>
      <c r="S52" s="24">
        <f t="shared" ref="S52:S55" si="45">ROUND(Q52*R52,0)</f>
        <v>11</v>
      </c>
    </row>
    <row r="53" s="1" customFormat="1" spans="1:19">
      <c r="A53" s="10">
        <v>33</v>
      </c>
      <c r="B53" s="10">
        <v>441322</v>
      </c>
      <c r="C53" s="10" t="s">
        <v>94</v>
      </c>
      <c r="D53" s="10" t="s">
        <v>96</v>
      </c>
      <c r="E53" s="24">
        <f>VLOOKUP(D53,[1]摸底数!B:D,3,0)</f>
        <v>826100</v>
      </c>
      <c r="F53" s="24">
        <f>VLOOKUP(D53,[1]摸底数!B:G,6,0)</f>
        <v>33822</v>
      </c>
      <c r="G53" s="25">
        <f t="shared" ref="G53:G55" si="46">ROUND((E53-F53/0.7)*0.1,0)</f>
        <v>77778</v>
      </c>
      <c r="H53" s="26">
        <f t="shared" ref="H53:H55" si="47">ROUND(G53*20/10000,2)</f>
        <v>155.56</v>
      </c>
      <c r="I53" s="32">
        <v>0.65</v>
      </c>
      <c r="J53" s="34">
        <f t="shared" ref="J53:J55" si="48">ROUND(H53*I53,2)</f>
        <v>101.11</v>
      </c>
      <c r="K53" s="24">
        <v>37</v>
      </c>
      <c r="L53" s="17">
        <f t="shared" si="43"/>
        <v>138.11</v>
      </c>
      <c r="M53" s="24">
        <v>15</v>
      </c>
      <c r="N53" s="24">
        <v>15</v>
      </c>
      <c r="O53" s="24">
        <v>5</v>
      </c>
      <c r="P53" s="24"/>
      <c r="Q53" s="17">
        <f t="shared" si="44"/>
        <v>294.32</v>
      </c>
      <c r="R53" s="32">
        <v>0.65</v>
      </c>
      <c r="S53" s="24">
        <f t="shared" si="45"/>
        <v>191</v>
      </c>
    </row>
    <row r="54" s="1" customFormat="1" spans="1:19">
      <c r="A54" s="10">
        <v>34</v>
      </c>
      <c r="B54" s="10">
        <v>441323</v>
      </c>
      <c r="C54" s="10" t="s">
        <v>94</v>
      </c>
      <c r="D54" s="10" t="s">
        <v>97</v>
      </c>
      <c r="E54" s="24">
        <f>VLOOKUP(D54,[1]摸底数!B:D,3,0)</f>
        <v>667221</v>
      </c>
      <c r="F54" s="24">
        <f>VLOOKUP(D54,[1]摸底数!B:G,6,0)</f>
        <v>10117</v>
      </c>
      <c r="G54" s="25">
        <f t="shared" si="46"/>
        <v>65277</v>
      </c>
      <c r="H54" s="26">
        <f t="shared" si="47"/>
        <v>130.55</v>
      </c>
      <c r="I54" s="32">
        <v>1</v>
      </c>
      <c r="J54" s="34">
        <f t="shared" si="48"/>
        <v>130.55</v>
      </c>
      <c r="K54" s="24">
        <v>37</v>
      </c>
      <c r="L54" s="17">
        <f t="shared" si="43"/>
        <v>167.55</v>
      </c>
      <c r="M54" s="24">
        <v>15</v>
      </c>
      <c r="N54" s="24">
        <v>15</v>
      </c>
      <c r="O54" s="24">
        <v>5</v>
      </c>
      <c r="P54" s="24"/>
      <c r="Q54" s="17">
        <f t="shared" si="44"/>
        <v>299.1</v>
      </c>
      <c r="R54" s="32">
        <v>1</v>
      </c>
      <c r="S54" s="24">
        <f t="shared" si="45"/>
        <v>299</v>
      </c>
    </row>
    <row r="55" s="1" customFormat="1" spans="1:19">
      <c r="A55" s="10">
        <v>35</v>
      </c>
      <c r="B55" s="10">
        <v>441324</v>
      </c>
      <c r="C55" s="10" t="s">
        <v>94</v>
      </c>
      <c r="D55" s="10" t="s">
        <v>98</v>
      </c>
      <c r="E55" s="24">
        <f>VLOOKUP(D55,[1]摸底数!B:D,3,0)</f>
        <v>163464</v>
      </c>
      <c r="F55" s="24">
        <f>VLOOKUP(D55,[1]摸底数!B:G,6,0)</f>
        <v>1323</v>
      </c>
      <c r="G55" s="25">
        <f t="shared" si="46"/>
        <v>16157</v>
      </c>
      <c r="H55" s="26">
        <f t="shared" si="47"/>
        <v>32.31</v>
      </c>
      <c r="I55" s="32">
        <v>0.85</v>
      </c>
      <c r="J55" s="34">
        <f t="shared" si="48"/>
        <v>27.46</v>
      </c>
      <c r="K55" s="24">
        <v>37</v>
      </c>
      <c r="L55" s="17">
        <f t="shared" si="43"/>
        <v>64.46</v>
      </c>
      <c r="M55" s="24">
        <v>15</v>
      </c>
      <c r="N55" s="24">
        <v>15</v>
      </c>
      <c r="O55" s="24">
        <v>5</v>
      </c>
      <c r="P55" s="24"/>
      <c r="Q55" s="17">
        <f t="shared" si="44"/>
        <v>97.62</v>
      </c>
      <c r="R55" s="32">
        <v>0.85</v>
      </c>
      <c r="S55" s="24">
        <f t="shared" si="45"/>
        <v>83</v>
      </c>
    </row>
    <row r="56" s="4" customFormat="1" ht="14.25" spans="1:19">
      <c r="A56" s="22">
        <v>80</v>
      </c>
      <c r="B56" s="22">
        <v>441400</v>
      </c>
      <c r="C56" s="22" t="s">
        <v>99</v>
      </c>
      <c r="D56" s="23" t="s">
        <v>100</v>
      </c>
      <c r="E56" s="21">
        <f>SUM(E57:E63)</f>
        <v>1807860</v>
      </c>
      <c r="F56" s="21">
        <f>SUM(F57:F63)</f>
        <v>132217</v>
      </c>
      <c r="G56" s="21">
        <f>SUM(G57:G63)</f>
        <v>161897</v>
      </c>
      <c r="H56" s="21">
        <f>SUM(H57:H63)</f>
        <v>323.8</v>
      </c>
      <c r="I56" s="21"/>
      <c r="J56" s="21">
        <f t="shared" ref="J56:Q56" si="49">SUM(J57:J63)</f>
        <v>323.8</v>
      </c>
      <c r="K56" s="21">
        <f t="shared" si="49"/>
        <v>238</v>
      </c>
      <c r="L56" s="21">
        <f t="shared" si="49"/>
        <v>561.8</v>
      </c>
      <c r="M56" s="21">
        <f t="shared" si="49"/>
        <v>105</v>
      </c>
      <c r="N56" s="21">
        <f t="shared" si="49"/>
        <v>90</v>
      </c>
      <c r="O56" s="21">
        <f t="shared" si="49"/>
        <v>30</v>
      </c>
      <c r="P56" s="21">
        <f t="shared" si="49"/>
        <v>0</v>
      </c>
      <c r="Q56" s="21">
        <f t="shared" si="49"/>
        <v>892.45</v>
      </c>
      <c r="R56" s="21"/>
      <c r="S56" s="21">
        <f>SUM(S57:S63)</f>
        <v>889</v>
      </c>
    </row>
    <row r="57" s="4" customFormat="1" spans="1:19">
      <c r="A57" s="22"/>
      <c r="B57" s="22"/>
      <c r="C57" s="22"/>
      <c r="D57" s="10" t="s">
        <v>58</v>
      </c>
      <c r="E57" s="21"/>
      <c r="F57" s="24"/>
      <c r="G57" s="21"/>
      <c r="H57" s="22"/>
      <c r="I57" s="32">
        <v>0.85</v>
      </c>
      <c r="J57" s="32"/>
      <c r="K57" s="24">
        <v>16</v>
      </c>
      <c r="L57" s="17">
        <f t="shared" ref="L57:L63" si="50">ROUND(J57+K57,2)</f>
        <v>16</v>
      </c>
      <c r="M57" s="24">
        <v>15</v>
      </c>
      <c r="N57" s="21"/>
      <c r="O57" s="21"/>
      <c r="P57" s="21"/>
      <c r="Q57" s="17">
        <f t="shared" ref="Q57:Q63" si="51">SUM(H57:K57)</f>
        <v>16.85</v>
      </c>
      <c r="R57" s="32">
        <v>0.85</v>
      </c>
      <c r="S57" s="24">
        <f t="shared" ref="S57:S63" si="52">ROUND(Q57*R57,0)</f>
        <v>14</v>
      </c>
    </row>
    <row r="58" s="1" customFormat="1" spans="1:19">
      <c r="A58" s="10">
        <v>37</v>
      </c>
      <c r="B58" s="10">
        <v>441422</v>
      </c>
      <c r="C58" s="10" t="s">
        <v>99</v>
      </c>
      <c r="D58" s="10" t="s">
        <v>101</v>
      </c>
      <c r="E58" s="24">
        <f>VLOOKUP(D58,[1]摸底数!B:D,3,0)</f>
        <v>196859</v>
      </c>
      <c r="F58" s="24">
        <f>VLOOKUP(D58,[1]摸底数!B:G,6,0)</f>
        <v>83282</v>
      </c>
      <c r="G58" s="25">
        <f t="shared" ref="G58:G63" si="53">ROUND((E58-F58/0.7)*0.1,0)</f>
        <v>7788</v>
      </c>
      <c r="H58" s="26">
        <f t="shared" ref="H58:H63" si="54">ROUND(G58*20/10000,2)</f>
        <v>15.58</v>
      </c>
      <c r="I58" s="32">
        <v>1</v>
      </c>
      <c r="J58" s="34">
        <f t="shared" ref="J58:J63" si="55">ROUND(H58*I58,2)</f>
        <v>15.58</v>
      </c>
      <c r="K58" s="24">
        <v>37</v>
      </c>
      <c r="L58" s="17">
        <f t="shared" si="50"/>
        <v>52.58</v>
      </c>
      <c r="M58" s="24">
        <v>15</v>
      </c>
      <c r="N58" s="24">
        <v>15</v>
      </c>
      <c r="O58" s="24">
        <v>5</v>
      </c>
      <c r="P58" s="24"/>
      <c r="Q58" s="17">
        <f t="shared" si="51"/>
        <v>69.16</v>
      </c>
      <c r="R58" s="32">
        <v>1</v>
      </c>
      <c r="S58" s="24">
        <f t="shared" si="52"/>
        <v>69</v>
      </c>
    </row>
    <row r="59" s="1" customFormat="1" spans="1:19">
      <c r="A59" s="10">
        <v>38</v>
      </c>
      <c r="B59" s="10">
        <v>441423</v>
      </c>
      <c r="C59" s="10" t="s">
        <v>99</v>
      </c>
      <c r="D59" s="10" t="s">
        <v>102</v>
      </c>
      <c r="E59" s="24">
        <f>VLOOKUP(D59,[1]摸底数!B:D,3,0)</f>
        <v>295089</v>
      </c>
      <c r="F59" s="24">
        <f>VLOOKUP(D59,[1]摸底数!B:G,6,0)</f>
        <v>9868</v>
      </c>
      <c r="G59" s="25">
        <f t="shared" si="53"/>
        <v>28099</v>
      </c>
      <c r="H59" s="26">
        <f t="shared" si="54"/>
        <v>56.2</v>
      </c>
      <c r="I59" s="32">
        <v>1</v>
      </c>
      <c r="J59" s="34">
        <f t="shared" si="55"/>
        <v>56.2</v>
      </c>
      <c r="K59" s="24">
        <v>37</v>
      </c>
      <c r="L59" s="17">
        <f t="shared" si="50"/>
        <v>93.2</v>
      </c>
      <c r="M59" s="24">
        <v>15</v>
      </c>
      <c r="N59" s="24">
        <v>15</v>
      </c>
      <c r="O59" s="24">
        <v>5</v>
      </c>
      <c r="P59" s="24"/>
      <c r="Q59" s="17">
        <f t="shared" si="51"/>
        <v>150.4</v>
      </c>
      <c r="R59" s="32">
        <v>1</v>
      </c>
      <c r="S59" s="24">
        <f t="shared" si="52"/>
        <v>150</v>
      </c>
    </row>
    <row r="60" s="1" customFormat="1" spans="1:19">
      <c r="A60" s="10">
        <v>39</v>
      </c>
      <c r="B60" s="10">
        <v>441424</v>
      </c>
      <c r="C60" s="10" t="s">
        <v>99</v>
      </c>
      <c r="D60" s="10" t="s">
        <v>103</v>
      </c>
      <c r="E60" s="24">
        <f>VLOOKUP(D60,[1]摸底数!B:D,3,0)</f>
        <v>621220</v>
      </c>
      <c r="F60" s="24">
        <f>VLOOKUP(D60,[1]摸底数!B:G,6,0)</f>
        <v>4403</v>
      </c>
      <c r="G60" s="25">
        <f t="shared" si="53"/>
        <v>61493</v>
      </c>
      <c r="H60" s="26">
        <f t="shared" si="54"/>
        <v>122.99</v>
      </c>
      <c r="I60" s="32">
        <v>1</v>
      </c>
      <c r="J60" s="34">
        <f t="shared" si="55"/>
        <v>122.99</v>
      </c>
      <c r="K60" s="24">
        <v>37</v>
      </c>
      <c r="L60" s="17">
        <f t="shared" si="50"/>
        <v>159.99</v>
      </c>
      <c r="M60" s="24">
        <v>15</v>
      </c>
      <c r="N60" s="24">
        <v>15</v>
      </c>
      <c r="O60" s="24">
        <v>5</v>
      </c>
      <c r="P60" s="24"/>
      <c r="Q60" s="17">
        <f t="shared" si="51"/>
        <v>283.98</v>
      </c>
      <c r="R60" s="32">
        <v>1</v>
      </c>
      <c r="S60" s="24">
        <f t="shared" si="52"/>
        <v>284</v>
      </c>
    </row>
    <row r="61" s="1" customFormat="1" spans="1:19">
      <c r="A61" s="10">
        <v>40</v>
      </c>
      <c r="B61" s="10">
        <v>441426</v>
      </c>
      <c r="C61" s="10" t="s">
        <v>99</v>
      </c>
      <c r="D61" s="10" t="s">
        <v>104</v>
      </c>
      <c r="E61" s="24">
        <f>VLOOKUP(D61,[1]摸底数!B:D,3,0)</f>
        <v>95316</v>
      </c>
      <c r="F61" s="24">
        <f>VLOOKUP(D61,[1]摸底数!B:G,6,0)</f>
        <v>4651</v>
      </c>
      <c r="G61" s="25">
        <f t="shared" si="53"/>
        <v>8867</v>
      </c>
      <c r="H61" s="26">
        <f t="shared" si="54"/>
        <v>17.73</v>
      </c>
      <c r="I61" s="32">
        <v>1</v>
      </c>
      <c r="J61" s="34">
        <f t="shared" si="55"/>
        <v>17.73</v>
      </c>
      <c r="K61" s="24">
        <v>37</v>
      </c>
      <c r="L61" s="17">
        <f t="shared" si="50"/>
        <v>54.73</v>
      </c>
      <c r="M61" s="24">
        <v>15</v>
      </c>
      <c r="N61" s="24">
        <v>15</v>
      </c>
      <c r="O61" s="24">
        <v>5</v>
      </c>
      <c r="P61" s="24"/>
      <c r="Q61" s="17">
        <f t="shared" si="51"/>
        <v>73.46</v>
      </c>
      <c r="R61" s="32">
        <v>1</v>
      </c>
      <c r="S61" s="24">
        <f t="shared" si="52"/>
        <v>73</v>
      </c>
    </row>
    <row r="62" s="1" customFormat="1" spans="1:19">
      <c r="A62" s="10">
        <v>41</v>
      </c>
      <c r="B62" s="10">
        <v>441427</v>
      </c>
      <c r="C62" s="10" t="s">
        <v>99</v>
      </c>
      <c r="D62" s="10" t="s">
        <v>105</v>
      </c>
      <c r="E62" s="24">
        <f>VLOOKUP(D62,[1]摸底数!B:D,3,0)</f>
        <v>114227</v>
      </c>
      <c r="F62" s="24">
        <f>VLOOKUP(D62,[1]摸底数!B:G,6,0)</f>
        <v>6528</v>
      </c>
      <c r="G62" s="25">
        <f t="shared" si="53"/>
        <v>10490</v>
      </c>
      <c r="H62" s="26">
        <f t="shared" si="54"/>
        <v>20.98</v>
      </c>
      <c r="I62" s="32">
        <v>1</v>
      </c>
      <c r="J62" s="34">
        <f t="shared" si="55"/>
        <v>20.98</v>
      </c>
      <c r="K62" s="24">
        <v>37</v>
      </c>
      <c r="L62" s="17">
        <f t="shared" si="50"/>
        <v>57.98</v>
      </c>
      <c r="M62" s="24">
        <v>15</v>
      </c>
      <c r="N62" s="24">
        <v>15</v>
      </c>
      <c r="O62" s="24">
        <v>5</v>
      </c>
      <c r="P62" s="24"/>
      <c r="Q62" s="17">
        <f t="shared" si="51"/>
        <v>79.96</v>
      </c>
      <c r="R62" s="32">
        <v>1</v>
      </c>
      <c r="S62" s="24">
        <f t="shared" si="52"/>
        <v>80</v>
      </c>
    </row>
    <row r="63" s="1" customFormat="1" spans="1:19">
      <c r="A63" s="10">
        <v>42</v>
      </c>
      <c r="B63" s="10">
        <v>441481</v>
      </c>
      <c r="C63" s="10" t="s">
        <v>99</v>
      </c>
      <c r="D63" s="10" t="s">
        <v>106</v>
      </c>
      <c r="E63" s="24">
        <f>VLOOKUP(D63,[1]摸底数!B:D,3,0)</f>
        <v>485149</v>
      </c>
      <c r="F63" s="24">
        <f>VLOOKUP(D63,[1]摸底数!B:G,6,0)</f>
        <v>23485</v>
      </c>
      <c r="G63" s="25">
        <f t="shared" si="53"/>
        <v>45160</v>
      </c>
      <c r="H63" s="26">
        <f t="shared" si="54"/>
        <v>90.32</v>
      </c>
      <c r="I63" s="32">
        <v>1</v>
      </c>
      <c r="J63" s="34">
        <f t="shared" si="55"/>
        <v>90.32</v>
      </c>
      <c r="K63" s="24">
        <v>37</v>
      </c>
      <c r="L63" s="17">
        <f t="shared" si="50"/>
        <v>127.32</v>
      </c>
      <c r="M63" s="24">
        <v>15</v>
      </c>
      <c r="N63" s="24">
        <v>15</v>
      </c>
      <c r="O63" s="24">
        <v>5</v>
      </c>
      <c r="P63" s="24"/>
      <c r="Q63" s="17">
        <f t="shared" si="51"/>
        <v>218.64</v>
      </c>
      <c r="R63" s="32">
        <v>1</v>
      </c>
      <c r="S63" s="24">
        <f t="shared" si="52"/>
        <v>219</v>
      </c>
    </row>
    <row r="64" s="4" customFormat="1" ht="14.25" spans="1:19">
      <c r="A64" s="22">
        <v>81</v>
      </c>
      <c r="B64" s="22">
        <v>441500</v>
      </c>
      <c r="C64" s="22" t="s">
        <v>107</v>
      </c>
      <c r="D64" s="23" t="s">
        <v>108</v>
      </c>
      <c r="E64" s="21">
        <f>SUM(E65:E68)</f>
        <v>1301477</v>
      </c>
      <c r="F64" s="21">
        <f>SUM(F65:F68)</f>
        <v>14324</v>
      </c>
      <c r="G64" s="21">
        <f>SUM(G65:G68)</f>
        <v>128102</v>
      </c>
      <c r="H64" s="21">
        <f>SUM(H65:H68)</f>
        <v>256.2</v>
      </c>
      <c r="I64" s="21"/>
      <c r="J64" s="21">
        <f t="shared" ref="J64:Q64" si="56">SUM(J65:J68)</f>
        <v>256.2</v>
      </c>
      <c r="K64" s="21">
        <f t="shared" si="56"/>
        <v>127</v>
      </c>
      <c r="L64" s="21">
        <f t="shared" si="56"/>
        <v>383.2</v>
      </c>
      <c r="M64" s="21">
        <f t="shared" si="56"/>
        <v>60</v>
      </c>
      <c r="N64" s="21">
        <f t="shared" si="56"/>
        <v>45</v>
      </c>
      <c r="O64" s="21">
        <f t="shared" si="56"/>
        <v>15</v>
      </c>
      <c r="P64" s="21">
        <f t="shared" si="56"/>
        <v>0</v>
      </c>
      <c r="Q64" s="21">
        <f t="shared" si="56"/>
        <v>643.25</v>
      </c>
      <c r="R64" s="21"/>
      <c r="S64" s="21">
        <f>SUM(S65:S68)</f>
        <v>641</v>
      </c>
    </row>
    <row r="65" s="4" customFormat="1" spans="1:19">
      <c r="A65" s="22"/>
      <c r="B65" s="22"/>
      <c r="C65" s="22"/>
      <c r="D65" s="10" t="s">
        <v>58</v>
      </c>
      <c r="E65" s="21"/>
      <c r="F65" s="24"/>
      <c r="G65" s="21"/>
      <c r="H65" s="22"/>
      <c r="I65" s="32">
        <v>0.85</v>
      </c>
      <c r="J65" s="32"/>
      <c r="K65" s="24">
        <v>16</v>
      </c>
      <c r="L65" s="17">
        <f t="shared" ref="L65:L68" si="57">ROUND(J65+K65,2)</f>
        <v>16</v>
      </c>
      <c r="M65" s="24">
        <v>15</v>
      </c>
      <c r="N65" s="21"/>
      <c r="O65" s="21"/>
      <c r="P65" s="21"/>
      <c r="Q65" s="17">
        <f t="shared" ref="Q65:Q68" si="58">SUM(H65:K65)</f>
        <v>16.85</v>
      </c>
      <c r="R65" s="32">
        <v>0.85</v>
      </c>
      <c r="S65" s="24">
        <f t="shared" ref="S65:S68" si="59">ROUND(Q65*R65,0)</f>
        <v>14</v>
      </c>
    </row>
    <row r="66" s="1" customFormat="1" spans="1:19">
      <c r="A66" s="10">
        <v>44</v>
      </c>
      <c r="B66" s="10">
        <v>441521</v>
      </c>
      <c r="C66" s="10" t="s">
        <v>107</v>
      </c>
      <c r="D66" s="10" t="s">
        <v>109</v>
      </c>
      <c r="E66" s="24">
        <f>VLOOKUP(D66,[1]摸底数!B:D,3,0)</f>
        <v>478182</v>
      </c>
      <c r="F66" s="24">
        <f>VLOOKUP(D66,[1]摸底数!B:G,6,0)</f>
        <v>8214</v>
      </c>
      <c r="G66" s="25">
        <f t="shared" ref="G66:G68" si="60">ROUND((E66-F66/0.7)*0.1,0)</f>
        <v>46645</v>
      </c>
      <c r="H66" s="26">
        <f t="shared" ref="H66:H68" si="61">ROUND(G66*20/10000,2)</f>
        <v>93.29</v>
      </c>
      <c r="I66" s="32">
        <v>1</v>
      </c>
      <c r="J66" s="34">
        <f t="shared" ref="J66:J68" si="62">ROUND(H66*I66,2)</f>
        <v>93.29</v>
      </c>
      <c r="K66" s="24">
        <v>37</v>
      </c>
      <c r="L66" s="17">
        <f t="shared" si="57"/>
        <v>130.29</v>
      </c>
      <c r="M66" s="24">
        <v>15</v>
      </c>
      <c r="N66" s="24">
        <v>15</v>
      </c>
      <c r="O66" s="24">
        <v>5</v>
      </c>
      <c r="P66" s="24"/>
      <c r="Q66" s="17">
        <f t="shared" si="58"/>
        <v>224.58</v>
      </c>
      <c r="R66" s="32">
        <v>1</v>
      </c>
      <c r="S66" s="24">
        <f t="shared" si="59"/>
        <v>225</v>
      </c>
    </row>
    <row r="67" s="1" customFormat="1" spans="1:19">
      <c r="A67" s="10">
        <v>45</v>
      </c>
      <c r="B67" s="10">
        <v>441523</v>
      </c>
      <c r="C67" s="10" t="s">
        <v>107</v>
      </c>
      <c r="D67" s="10" t="s">
        <v>110</v>
      </c>
      <c r="E67" s="24">
        <f>VLOOKUP(D67,[1]摸底数!B:D,3,0)</f>
        <v>100597</v>
      </c>
      <c r="F67" s="24">
        <f>VLOOKUP(D67,[1]摸底数!B:G,6,0)</f>
        <v>368</v>
      </c>
      <c r="G67" s="25">
        <f t="shared" si="60"/>
        <v>10007</v>
      </c>
      <c r="H67" s="26">
        <f t="shared" si="61"/>
        <v>20.01</v>
      </c>
      <c r="I67" s="32">
        <v>1</v>
      </c>
      <c r="J67" s="34">
        <f t="shared" si="62"/>
        <v>20.01</v>
      </c>
      <c r="K67" s="24">
        <v>37</v>
      </c>
      <c r="L67" s="17">
        <f t="shared" si="57"/>
        <v>57.01</v>
      </c>
      <c r="M67" s="24">
        <v>15</v>
      </c>
      <c r="N67" s="24">
        <v>15</v>
      </c>
      <c r="O67" s="24">
        <v>5</v>
      </c>
      <c r="P67" s="24"/>
      <c r="Q67" s="17">
        <f t="shared" si="58"/>
        <v>78.02</v>
      </c>
      <c r="R67" s="32">
        <v>1</v>
      </c>
      <c r="S67" s="24">
        <f t="shared" si="59"/>
        <v>78</v>
      </c>
    </row>
    <row r="68" s="1" customFormat="1" spans="1:19">
      <c r="A68" s="10">
        <v>46</v>
      </c>
      <c r="B68" s="10">
        <v>441581</v>
      </c>
      <c r="C68" s="10" t="s">
        <v>107</v>
      </c>
      <c r="D68" s="10" t="s">
        <v>111</v>
      </c>
      <c r="E68" s="24">
        <f>VLOOKUP(D68,[1]摸底数!B:D,3,0)</f>
        <v>722698</v>
      </c>
      <c r="F68" s="24">
        <f>VLOOKUP(D68,[1]摸底数!B:G,6,0)</f>
        <v>5742</v>
      </c>
      <c r="G68" s="25">
        <f t="shared" si="60"/>
        <v>71450</v>
      </c>
      <c r="H68" s="26">
        <f t="shared" si="61"/>
        <v>142.9</v>
      </c>
      <c r="I68" s="32">
        <v>1</v>
      </c>
      <c r="J68" s="34">
        <f t="shared" si="62"/>
        <v>142.9</v>
      </c>
      <c r="K68" s="24">
        <v>37</v>
      </c>
      <c r="L68" s="17">
        <f t="shared" si="57"/>
        <v>179.9</v>
      </c>
      <c r="M68" s="24">
        <v>15</v>
      </c>
      <c r="N68" s="24">
        <v>15</v>
      </c>
      <c r="O68" s="24">
        <v>5</v>
      </c>
      <c r="P68" s="24"/>
      <c r="Q68" s="17">
        <f t="shared" si="58"/>
        <v>323.8</v>
      </c>
      <c r="R68" s="32">
        <v>1</v>
      </c>
      <c r="S68" s="24">
        <f t="shared" si="59"/>
        <v>324</v>
      </c>
    </row>
    <row r="69" s="4" customFormat="1" ht="14.25" spans="1:19">
      <c r="A69" s="22">
        <v>82</v>
      </c>
      <c r="B69" s="22">
        <v>441600</v>
      </c>
      <c r="C69" s="22" t="s">
        <v>112</v>
      </c>
      <c r="D69" s="23" t="s">
        <v>113</v>
      </c>
      <c r="E69" s="21">
        <f>SUM(E70:E75)</f>
        <v>1266965</v>
      </c>
      <c r="F69" s="21">
        <f>SUM(F70:F75)</f>
        <v>54887</v>
      </c>
      <c r="G69" s="21">
        <f>SUM(G70:G75)</f>
        <v>118855</v>
      </c>
      <c r="H69" s="21">
        <f>SUM(H70:H75)</f>
        <v>237.71</v>
      </c>
      <c r="I69" s="21"/>
      <c r="J69" s="21">
        <f t="shared" ref="J69:Q69" si="63">SUM(J70:J75)</f>
        <v>231.55</v>
      </c>
      <c r="K69" s="21">
        <f t="shared" si="63"/>
        <v>201</v>
      </c>
      <c r="L69" s="21">
        <f t="shared" si="63"/>
        <v>432.55</v>
      </c>
      <c r="M69" s="21">
        <f t="shared" si="63"/>
        <v>90</v>
      </c>
      <c r="N69" s="21">
        <f t="shared" si="63"/>
        <v>75</v>
      </c>
      <c r="O69" s="21">
        <f t="shared" si="63"/>
        <v>25</v>
      </c>
      <c r="P69" s="21">
        <f t="shared" si="63"/>
        <v>0</v>
      </c>
      <c r="Q69" s="21">
        <f t="shared" si="63"/>
        <v>675.96</v>
      </c>
      <c r="R69" s="21"/>
      <c r="S69" s="21">
        <f>SUM(S70:S75)</f>
        <v>657</v>
      </c>
    </row>
    <row r="70" s="4" customFormat="1" spans="1:19">
      <c r="A70" s="22"/>
      <c r="B70" s="22"/>
      <c r="C70" s="22"/>
      <c r="D70" s="10" t="s">
        <v>58</v>
      </c>
      <c r="E70" s="21"/>
      <c r="F70" s="24"/>
      <c r="G70" s="21"/>
      <c r="H70" s="22"/>
      <c r="I70" s="32">
        <v>0.85</v>
      </c>
      <c r="J70" s="32"/>
      <c r="K70" s="24">
        <v>16</v>
      </c>
      <c r="L70" s="17">
        <f t="shared" ref="L70:L75" si="64">ROUND(J70+K70,2)</f>
        <v>16</v>
      </c>
      <c r="M70" s="24">
        <v>15</v>
      </c>
      <c r="N70" s="21"/>
      <c r="O70" s="21"/>
      <c r="P70" s="21"/>
      <c r="Q70" s="17">
        <f t="shared" ref="Q70:Q75" si="65">SUM(H70:K70)</f>
        <v>16.85</v>
      </c>
      <c r="R70" s="32">
        <v>0.85</v>
      </c>
      <c r="S70" s="24">
        <f t="shared" ref="S70:S75" si="66">ROUND(Q70*R70,0)</f>
        <v>14</v>
      </c>
    </row>
    <row r="71" s="1" customFormat="1" spans="1:19">
      <c r="A71" s="10">
        <v>48</v>
      </c>
      <c r="B71" s="10">
        <v>441621</v>
      </c>
      <c r="C71" s="10" t="s">
        <v>112</v>
      </c>
      <c r="D71" s="10" t="s">
        <v>114</v>
      </c>
      <c r="E71" s="24">
        <f>VLOOKUP(D71,[1]摸底数!B:D,3,0)</f>
        <v>318346</v>
      </c>
      <c r="F71" s="24">
        <f>VLOOKUP(D71,[1]摸底数!B:G,6,0)</f>
        <v>17222</v>
      </c>
      <c r="G71" s="25">
        <f t="shared" ref="G71:G75" si="67">ROUND((E71-F71/0.7)*0.1,0)</f>
        <v>29374</v>
      </c>
      <c r="H71" s="26">
        <f t="shared" ref="H71:H75" si="68">ROUND(G71*20/10000,2)</f>
        <v>58.75</v>
      </c>
      <c r="I71" s="32">
        <v>1</v>
      </c>
      <c r="J71" s="34">
        <f t="shared" ref="J71:J75" si="69">ROUND(H71*I71,2)</f>
        <v>58.75</v>
      </c>
      <c r="K71" s="24">
        <v>37</v>
      </c>
      <c r="L71" s="17">
        <f t="shared" si="64"/>
        <v>95.75</v>
      </c>
      <c r="M71" s="24">
        <v>15</v>
      </c>
      <c r="N71" s="24">
        <v>15</v>
      </c>
      <c r="O71" s="24">
        <v>5</v>
      </c>
      <c r="P71" s="24"/>
      <c r="Q71" s="17">
        <f t="shared" si="65"/>
        <v>155.5</v>
      </c>
      <c r="R71" s="32">
        <v>1</v>
      </c>
      <c r="S71" s="24">
        <f t="shared" si="66"/>
        <v>156</v>
      </c>
    </row>
    <row r="72" s="1" customFormat="1" spans="1:19">
      <c r="A72" s="10">
        <v>49</v>
      </c>
      <c r="B72" s="10">
        <v>441622</v>
      </c>
      <c r="C72" s="10" t="s">
        <v>112</v>
      </c>
      <c r="D72" s="10" t="s">
        <v>115</v>
      </c>
      <c r="E72" s="24">
        <f>VLOOKUP(D72,[1]摸底数!B:D,3,0)</f>
        <v>349329</v>
      </c>
      <c r="F72" s="24">
        <f>VLOOKUP(D72,[1]摸底数!B:G,6,0)</f>
        <v>22814</v>
      </c>
      <c r="G72" s="25">
        <f t="shared" si="67"/>
        <v>31674</v>
      </c>
      <c r="H72" s="26">
        <f t="shared" si="68"/>
        <v>63.35</v>
      </c>
      <c r="I72" s="32">
        <v>1</v>
      </c>
      <c r="J72" s="34">
        <f t="shared" si="69"/>
        <v>63.35</v>
      </c>
      <c r="K72" s="24">
        <v>37</v>
      </c>
      <c r="L72" s="17">
        <f t="shared" si="64"/>
        <v>100.35</v>
      </c>
      <c r="M72" s="24">
        <v>15</v>
      </c>
      <c r="N72" s="24">
        <v>15</v>
      </c>
      <c r="O72" s="24">
        <v>5</v>
      </c>
      <c r="P72" s="24"/>
      <c r="Q72" s="17">
        <f t="shared" si="65"/>
        <v>164.7</v>
      </c>
      <c r="R72" s="32">
        <v>1</v>
      </c>
      <c r="S72" s="24">
        <f t="shared" si="66"/>
        <v>165</v>
      </c>
    </row>
    <row r="73" s="1" customFormat="1" spans="1:19">
      <c r="A73" s="10">
        <v>50</v>
      </c>
      <c r="B73" s="10">
        <v>441623</v>
      </c>
      <c r="C73" s="10" t="s">
        <v>112</v>
      </c>
      <c r="D73" s="10" t="s">
        <v>116</v>
      </c>
      <c r="E73" s="24">
        <f>VLOOKUP(D73,[1]摸底数!B:D,3,0)</f>
        <v>176812</v>
      </c>
      <c r="F73" s="24">
        <f>VLOOKUP(D73,[1]摸底数!B:G,6,0)</f>
        <v>6236</v>
      </c>
      <c r="G73" s="25">
        <f t="shared" si="67"/>
        <v>16790</v>
      </c>
      <c r="H73" s="26">
        <f t="shared" si="68"/>
        <v>33.58</v>
      </c>
      <c r="I73" s="32">
        <v>1</v>
      </c>
      <c r="J73" s="34">
        <f t="shared" si="69"/>
        <v>33.58</v>
      </c>
      <c r="K73" s="24">
        <v>37</v>
      </c>
      <c r="L73" s="17">
        <f t="shared" si="64"/>
        <v>70.58</v>
      </c>
      <c r="M73" s="24">
        <v>15</v>
      </c>
      <c r="N73" s="24">
        <v>15</v>
      </c>
      <c r="O73" s="24">
        <v>5</v>
      </c>
      <c r="P73" s="24"/>
      <c r="Q73" s="17">
        <f t="shared" si="65"/>
        <v>105.16</v>
      </c>
      <c r="R73" s="32">
        <v>1</v>
      </c>
      <c r="S73" s="24">
        <f t="shared" si="66"/>
        <v>105</v>
      </c>
    </row>
    <row r="74" s="1" customFormat="1" spans="1:19">
      <c r="A74" s="10">
        <v>51</v>
      </c>
      <c r="B74" s="10">
        <v>441624</v>
      </c>
      <c r="C74" s="10" t="s">
        <v>112</v>
      </c>
      <c r="D74" s="10" t="s">
        <v>117</v>
      </c>
      <c r="E74" s="24">
        <f>VLOOKUP(D74,[1]摸底数!B:D,3,0)</f>
        <v>207762</v>
      </c>
      <c r="F74" s="24">
        <f>VLOOKUP(D74,[1]摸底数!B:G,6,0)</f>
        <v>2169</v>
      </c>
      <c r="G74" s="25">
        <f t="shared" si="67"/>
        <v>20466</v>
      </c>
      <c r="H74" s="26">
        <f t="shared" si="68"/>
        <v>40.93</v>
      </c>
      <c r="I74" s="32">
        <v>1</v>
      </c>
      <c r="J74" s="34">
        <f t="shared" si="69"/>
        <v>40.93</v>
      </c>
      <c r="K74" s="24">
        <v>37</v>
      </c>
      <c r="L74" s="17">
        <f t="shared" si="64"/>
        <v>77.93</v>
      </c>
      <c r="M74" s="24">
        <v>15</v>
      </c>
      <c r="N74" s="24">
        <v>15</v>
      </c>
      <c r="O74" s="24">
        <v>5</v>
      </c>
      <c r="P74" s="24"/>
      <c r="Q74" s="17">
        <f t="shared" si="65"/>
        <v>119.86</v>
      </c>
      <c r="R74" s="32">
        <v>1</v>
      </c>
      <c r="S74" s="24">
        <f t="shared" si="66"/>
        <v>120</v>
      </c>
    </row>
    <row r="75" s="1" customFormat="1" spans="1:19">
      <c r="A75" s="10">
        <v>52</v>
      </c>
      <c r="B75" s="10">
        <v>441625</v>
      </c>
      <c r="C75" s="10" t="s">
        <v>112</v>
      </c>
      <c r="D75" s="10" t="s">
        <v>118</v>
      </c>
      <c r="E75" s="24">
        <f>VLOOKUP(D75,[1]摸底数!B:D,3,0)</f>
        <v>214716</v>
      </c>
      <c r="F75" s="24">
        <f>VLOOKUP(D75,[1]摸底数!B:G,6,0)</f>
        <v>6446</v>
      </c>
      <c r="G75" s="25">
        <f t="shared" si="67"/>
        <v>20551</v>
      </c>
      <c r="H75" s="26">
        <f t="shared" si="68"/>
        <v>41.1</v>
      </c>
      <c r="I75" s="32">
        <v>0.85</v>
      </c>
      <c r="J75" s="34">
        <f t="shared" si="69"/>
        <v>34.94</v>
      </c>
      <c r="K75" s="24">
        <v>37</v>
      </c>
      <c r="L75" s="17">
        <f t="shared" si="64"/>
        <v>71.94</v>
      </c>
      <c r="M75" s="24">
        <v>15</v>
      </c>
      <c r="N75" s="24">
        <v>15</v>
      </c>
      <c r="O75" s="24">
        <v>5</v>
      </c>
      <c r="P75" s="24"/>
      <c r="Q75" s="17">
        <f t="shared" si="65"/>
        <v>113.89</v>
      </c>
      <c r="R75" s="32">
        <v>0.85</v>
      </c>
      <c r="S75" s="24">
        <f t="shared" si="66"/>
        <v>97</v>
      </c>
    </row>
    <row r="76" s="4" customFormat="1" ht="14.25" spans="1:19">
      <c r="A76" s="22">
        <v>83</v>
      </c>
      <c r="B76" s="22">
        <v>441700</v>
      </c>
      <c r="C76" s="22" t="s">
        <v>119</v>
      </c>
      <c r="D76" s="23" t="s">
        <v>120</v>
      </c>
      <c r="E76" s="21">
        <f>SUM(E77:E79)</f>
        <v>859387</v>
      </c>
      <c r="F76" s="21">
        <f>SUM(F77:F79)</f>
        <v>44882</v>
      </c>
      <c r="G76" s="21">
        <f>SUM(G77:G79)</f>
        <v>79527</v>
      </c>
      <c r="H76" s="21">
        <f>SUM(H77:H79)</f>
        <v>159.05</v>
      </c>
      <c r="I76" s="21"/>
      <c r="J76" s="21">
        <f t="shared" ref="J76:Q76" si="70">SUM(J77:J79)</f>
        <v>135.19</v>
      </c>
      <c r="K76" s="21">
        <f t="shared" si="70"/>
        <v>90</v>
      </c>
      <c r="L76" s="21">
        <f t="shared" si="70"/>
        <v>225.19</v>
      </c>
      <c r="M76" s="21">
        <f t="shared" si="70"/>
        <v>45</v>
      </c>
      <c r="N76" s="21">
        <f t="shared" si="70"/>
        <v>30</v>
      </c>
      <c r="O76" s="21">
        <f t="shared" si="70"/>
        <v>10</v>
      </c>
      <c r="P76" s="21">
        <f t="shared" si="70"/>
        <v>0</v>
      </c>
      <c r="Q76" s="21">
        <f t="shared" si="70"/>
        <v>386.79</v>
      </c>
      <c r="R76" s="21"/>
      <c r="S76" s="21">
        <f>SUM(S77:S79)</f>
        <v>328</v>
      </c>
    </row>
    <row r="77" s="4" customFormat="1" spans="1:19">
      <c r="A77" s="22"/>
      <c r="B77" s="22"/>
      <c r="C77" s="22"/>
      <c r="D77" s="10" t="s">
        <v>58</v>
      </c>
      <c r="E77" s="21"/>
      <c r="F77" s="24"/>
      <c r="G77" s="21"/>
      <c r="H77" s="22"/>
      <c r="I77" s="32">
        <v>0.85</v>
      </c>
      <c r="J77" s="32"/>
      <c r="K77" s="24">
        <v>16</v>
      </c>
      <c r="L77" s="17">
        <f t="shared" ref="L77:L79" si="71">ROUND(J77+K77,2)</f>
        <v>16</v>
      </c>
      <c r="M77" s="24">
        <v>15</v>
      </c>
      <c r="N77" s="21"/>
      <c r="O77" s="21"/>
      <c r="P77" s="21"/>
      <c r="Q77" s="17">
        <f t="shared" ref="Q77:Q79" si="72">SUM(H77:K77)</f>
        <v>16.85</v>
      </c>
      <c r="R77" s="32">
        <v>0.85</v>
      </c>
      <c r="S77" s="24">
        <f t="shared" ref="S77:S79" si="73">ROUND(Q77*R77,0)</f>
        <v>14</v>
      </c>
    </row>
    <row r="78" s="1" customFormat="1" spans="1:19">
      <c r="A78" s="10">
        <v>54</v>
      </c>
      <c r="B78" s="10">
        <v>441721</v>
      </c>
      <c r="C78" s="10" t="s">
        <v>119</v>
      </c>
      <c r="D78" s="10" t="s">
        <v>121</v>
      </c>
      <c r="E78" s="24">
        <f>VLOOKUP(D78,[1]摸底数!B:D,3,0)</f>
        <v>298294</v>
      </c>
      <c r="F78" s="24">
        <f>VLOOKUP(D78,[1]摸底数!B:G,6,0)</f>
        <v>10447</v>
      </c>
      <c r="G78" s="25">
        <f t="shared" ref="G78:G87" si="74">ROUND((E78-F78/0.7)*0.1,0)</f>
        <v>28337</v>
      </c>
      <c r="H78" s="26">
        <f t="shared" ref="H78:H87" si="75">ROUND(G78*20/10000,2)</f>
        <v>56.67</v>
      </c>
      <c r="I78" s="32">
        <v>0.85</v>
      </c>
      <c r="J78" s="34">
        <f t="shared" ref="J78:J87" si="76">ROUND(H78*I78,2)</f>
        <v>48.17</v>
      </c>
      <c r="K78" s="24">
        <v>37</v>
      </c>
      <c r="L78" s="17">
        <f t="shared" si="71"/>
        <v>85.17</v>
      </c>
      <c r="M78" s="24">
        <v>15</v>
      </c>
      <c r="N78" s="24">
        <v>15</v>
      </c>
      <c r="O78" s="24">
        <v>5</v>
      </c>
      <c r="P78" s="24"/>
      <c r="Q78" s="17">
        <f t="shared" si="72"/>
        <v>142.69</v>
      </c>
      <c r="R78" s="32">
        <v>0.85</v>
      </c>
      <c r="S78" s="24">
        <f t="shared" si="73"/>
        <v>121</v>
      </c>
    </row>
    <row r="79" s="1" customFormat="1" spans="1:19">
      <c r="A79" s="10">
        <v>55</v>
      </c>
      <c r="B79" s="10">
        <v>441781</v>
      </c>
      <c r="C79" s="10" t="s">
        <v>119</v>
      </c>
      <c r="D79" s="10" t="s">
        <v>122</v>
      </c>
      <c r="E79" s="24">
        <f>VLOOKUP(D79,[1]摸底数!B:D,3,0)</f>
        <v>561093</v>
      </c>
      <c r="F79" s="24">
        <f>VLOOKUP(D79,[1]摸底数!B:G,6,0)</f>
        <v>34435</v>
      </c>
      <c r="G79" s="25">
        <f t="shared" si="74"/>
        <v>51190</v>
      </c>
      <c r="H79" s="26">
        <f t="shared" si="75"/>
        <v>102.38</v>
      </c>
      <c r="I79" s="32">
        <v>0.85</v>
      </c>
      <c r="J79" s="34">
        <f t="shared" si="76"/>
        <v>87.02</v>
      </c>
      <c r="K79" s="24">
        <v>37</v>
      </c>
      <c r="L79" s="17">
        <f t="shared" si="71"/>
        <v>124.02</v>
      </c>
      <c r="M79" s="24">
        <v>15</v>
      </c>
      <c r="N79" s="24">
        <v>15</v>
      </c>
      <c r="O79" s="24">
        <v>5</v>
      </c>
      <c r="P79" s="24"/>
      <c r="Q79" s="17">
        <f t="shared" si="72"/>
        <v>227.25</v>
      </c>
      <c r="R79" s="32">
        <v>0.85</v>
      </c>
      <c r="S79" s="24">
        <f t="shared" si="73"/>
        <v>193</v>
      </c>
    </row>
    <row r="80" s="4" customFormat="1" ht="14.25" spans="1:19">
      <c r="A80" s="22"/>
      <c r="B80" s="22"/>
      <c r="C80" s="22"/>
      <c r="D80" s="23" t="s">
        <v>123</v>
      </c>
      <c r="E80" s="21">
        <f>SUM(E81:E87)</f>
        <v>1262547</v>
      </c>
      <c r="F80" s="21">
        <f>SUM(F81:F87)</f>
        <v>91745</v>
      </c>
      <c r="G80" s="21">
        <f>SUM(G81:G87)</f>
        <v>113150</v>
      </c>
      <c r="H80" s="21">
        <f>SUM(H81:H87)</f>
        <v>226.3</v>
      </c>
      <c r="I80" s="21"/>
      <c r="J80" s="21">
        <f t="shared" ref="J80:Q80" si="77">SUM(J81:J87)</f>
        <v>195.64</v>
      </c>
      <c r="K80" s="21">
        <f t="shared" si="77"/>
        <v>238</v>
      </c>
      <c r="L80" s="21">
        <f t="shared" si="77"/>
        <v>433.64</v>
      </c>
      <c r="M80" s="21">
        <f t="shared" si="77"/>
        <v>105</v>
      </c>
      <c r="N80" s="21">
        <f t="shared" si="77"/>
        <v>90</v>
      </c>
      <c r="O80" s="21">
        <f t="shared" si="77"/>
        <v>30</v>
      </c>
      <c r="P80" s="21">
        <f t="shared" si="77"/>
        <v>0</v>
      </c>
      <c r="Q80" s="21">
        <f t="shared" si="77"/>
        <v>666.19</v>
      </c>
      <c r="R80" s="21"/>
      <c r="S80" s="21">
        <f>SUM(S81:S87)</f>
        <v>583</v>
      </c>
    </row>
    <row r="81" s="4" customFormat="1" spans="1:19">
      <c r="A81" s="22"/>
      <c r="B81" s="22"/>
      <c r="C81" s="22"/>
      <c r="D81" s="10" t="s">
        <v>58</v>
      </c>
      <c r="E81" s="21"/>
      <c r="F81" s="24"/>
      <c r="G81" s="21"/>
      <c r="H81" s="22"/>
      <c r="I81" s="32">
        <v>0.85</v>
      </c>
      <c r="J81" s="32"/>
      <c r="K81" s="24">
        <v>16</v>
      </c>
      <c r="L81" s="17">
        <f t="shared" ref="L81:L87" si="78">ROUND(J81+K81,2)</f>
        <v>16</v>
      </c>
      <c r="M81" s="24">
        <v>15</v>
      </c>
      <c r="N81" s="21"/>
      <c r="O81" s="21"/>
      <c r="P81" s="21"/>
      <c r="Q81" s="17">
        <f t="shared" ref="Q81:Q87" si="79">SUM(H81:K81)</f>
        <v>16.85</v>
      </c>
      <c r="R81" s="32">
        <v>0.85</v>
      </c>
      <c r="S81" s="24">
        <f t="shared" ref="S81:S87" si="80">ROUND(Q81*R81,0)</f>
        <v>14</v>
      </c>
    </row>
    <row r="82" s="1" customFormat="1" spans="1:19">
      <c r="A82" s="10">
        <v>57</v>
      </c>
      <c r="B82" s="10">
        <v>441821</v>
      </c>
      <c r="C82" s="10" t="s">
        <v>124</v>
      </c>
      <c r="D82" s="10" t="s">
        <v>125</v>
      </c>
      <c r="E82" s="24">
        <f>VLOOKUP(D82,[1]摸底数!B:D,3,0)</f>
        <v>205323</v>
      </c>
      <c r="F82" s="24">
        <f>VLOOKUP(D82,[1]摸底数!B:G,6,0)</f>
        <v>9832</v>
      </c>
      <c r="G82" s="25">
        <f t="shared" si="74"/>
        <v>19128</v>
      </c>
      <c r="H82" s="26">
        <f t="shared" si="75"/>
        <v>38.26</v>
      </c>
      <c r="I82" s="32">
        <v>0.85</v>
      </c>
      <c r="J82" s="34">
        <f t="shared" si="76"/>
        <v>32.52</v>
      </c>
      <c r="K82" s="24">
        <v>37</v>
      </c>
      <c r="L82" s="17">
        <f t="shared" si="78"/>
        <v>69.52</v>
      </c>
      <c r="M82" s="24">
        <v>15</v>
      </c>
      <c r="N82" s="24">
        <v>15</v>
      </c>
      <c r="O82" s="24">
        <v>5</v>
      </c>
      <c r="P82" s="24"/>
      <c r="Q82" s="17">
        <f t="shared" si="79"/>
        <v>108.63</v>
      </c>
      <c r="R82" s="32">
        <v>0.85</v>
      </c>
      <c r="S82" s="24">
        <f t="shared" si="80"/>
        <v>92</v>
      </c>
    </row>
    <row r="83" s="1" customFormat="1" spans="1:19">
      <c r="A83" s="10">
        <v>58</v>
      </c>
      <c r="B83" s="10">
        <v>441823</v>
      </c>
      <c r="C83" s="10" t="s">
        <v>124</v>
      </c>
      <c r="D83" s="10" t="s">
        <v>126</v>
      </c>
      <c r="E83" s="24">
        <f>VLOOKUP(D83,[1]摸底数!B:D,3,0)</f>
        <v>226254</v>
      </c>
      <c r="F83" s="24">
        <f>VLOOKUP(D83,[1]摸底数!B:G,6,0)</f>
        <v>12905</v>
      </c>
      <c r="G83" s="25">
        <f t="shared" si="74"/>
        <v>20782</v>
      </c>
      <c r="H83" s="26">
        <f t="shared" si="75"/>
        <v>41.56</v>
      </c>
      <c r="I83" s="32">
        <v>0.85</v>
      </c>
      <c r="J83" s="34">
        <f t="shared" si="76"/>
        <v>35.33</v>
      </c>
      <c r="K83" s="24">
        <v>37</v>
      </c>
      <c r="L83" s="17">
        <f t="shared" si="78"/>
        <v>72.33</v>
      </c>
      <c r="M83" s="24">
        <v>15</v>
      </c>
      <c r="N83" s="24">
        <v>15</v>
      </c>
      <c r="O83" s="24">
        <v>5</v>
      </c>
      <c r="P83" s="24"/>
      <c r="Q83" s="17">
        <f t="shared" si="79"/>
        <v>114.74</v>
      </c>
      <c r="R83" s="32">
        <v>0.85</v>
      </c>
      <c r="S83" s="24">
        <f t="shared" si="80"/>
        <v>98</v>
      </c>
    </row>
    <row r="84" s="1" customFormat="1" spans="1:19">
      <c r="A84" s="10">
        <v>59</v>
      </c>
      <c r="B84" s="10">
        <v>441825</v>
      </c>
      <c r="C84" s="10" t="s">
        <v>124</v>
      </c>
      <c r="D84" s="10" t="s">
        <v>127</v>
      </c>
      <c r="E84" s="24">
        <f>VLOOKUP(D84,[1]摸底数!B:D,3,0)</f>
        <v>52535</v>
      </c>
      <c r="F84" s="24">
        <f>VLOOKUP(D84,[1]摸底数!B:G,6,0)</f>
        <v>931</v>
      </c>
      <c r="G84" s="25">
        <f t="shared" si="74"/>
        <v>5121</v>
      </c>
      <c r="H84" s="26">
        <f t="shared" si="75"/>
        <v>10.24</v>
      </c>
      <c r="I84" s="32">
        <v>1</v>
      </c>
      <c r="J84" s="34">
        <f t="shared" si="76"/>
        <v>10.24</v>
      </c>
      <c r="K84" s="24">
        <v>37</v>
      </c>
      <c r="L84" s="17">
        <f t="shared" si="78"/>
        <v>47.24</v>
      </c>
      <c r="M84" s="24">
        <v>15</v>
      </c>
      <c r="N84" s="24">
        <v>15</v>
      </c>
      <c r="O84" s="24">
        <v>5</v>
      </c>
      <c r="P84" s="24"/>
      <c r="Q84" s="17">
        <f t="shared" si="79"/>
        <v>58.48</v>
      </c>
      <c r="R84" s="32">
        <v>1</v>
      </c>
      <c r="S84" s="24">
        <f t="shared" si="80"/>
        <v>58</v>
      </c>
    </row>
    <row r="85" s="1" customFormat="1" spans="1:19">
      <c r="A85" s="10">
        <v>60</v>
      </c>
      <c r="B85" s="10">
        <v>441826</v>
      </c>
      <c r="C85" s="10" t="s">
        <v>124</v>
      </c>
      <c r="D85" s="10" t="s">
        <v>128</v>
      </c>
      <c r="E85" s="24">
        <f>VLOOKUP(D85,[1]摸底数!B:D,3,0)</f>
        <v>66948</v>
      </c>
      <c r="F85" s="24">
        <f>VLOOKUP(D85,[1]摸底数!B:G,6,0)</f>
        <v>6274</v>
      </c>
      <c r="G85" s="25">
        <f t="shared" si="74"/>
        <v>5799</v>
      </c>
      <c r="H85" s="26">
        <f t="shared" si="75"/>
        <v>11.6</v>
      </c>
      <c r="I85" s="32">
        <v>1</v>
      </c>
      <c r="J85" s="34">
        <f t="shared" si="76"/>
        <v>11.6</v>
      </c>
      <c r="K85" s="24">
        <v>37</v>
      </c>
      <c r="L85" s="17">
        <f t="shared" si="78"/>
        <v>48.6</v>
      </c>
      <c r="M85" s="24">
        <v>15</v>
      </c>
      <c r="N85" s="24">
        <v>15</v>
      </c>
      <c r="O85" s="24">
        <v>5</v>
      </c>
      <c r="P85" s="24"/>
      <c r="Q85" s="17">
        <f t="shared" si="79"/>
        <v>61.2</v>
      </c>
      <c r="R85" s="32">
        <v>1</v>
      </c>
      <c r="S85" s="24">
        <f t="shared" si="80"/>
        <v>61</v>
      </c>
    </row>
    <row r="86" s="1" customFormat="1" spans="1:19">
      <c r="A86" s="10">
        <v>61</v>
      </c>
      <c r="B86" s="10">
        <v>441881</v>
      </c>
      <c r="C86" s="10" t="s">
        <v>124</v>
      </c>
      <c r="D86" s="10" t="s">
        <v>129</v>
      </c>
      <c r="E86" s="24">
        <f>VLOOKUP(D86,[1]摸底数!B:D,3,0)</f>
        <v>481427</v>
      </c>
      <c r="F86" s="24">
        <f>VLOOKUP(D86,[1]摸底数!B:G,6,0)</f>
        <v>33857</v>
      </c>
      <c r="G86" s="25">
        <f t="shared" si="74"/>
        <v>43306</v>
      </c>
      <c r="H86" s="26">
        <f t="shared" si="75"/>
        <v>86.61</v>
      </c>
      <c r="I86" s="32">
        <v>0.85</v>
      </c>
      <c r="J86" s="34">
        <f t="shared" si="76"/>
        <v>73.62</v>
      </c>
      <c r="K86" s="24">
        <v>37</v>
      </c>
      <c r="L86" s="17">
        <f t="shared" si="78"/>
        <v>110.62</v>
      </c>
      <c r="M86" s="24">
        <v>15</v>
      </c>
      <c r="N86" s="24">
        <v>15</v>
      </c>
      <c r="O86" s="24">
        <v>5</v>
      </c>
      <c r="P86" s="24"/>
      <c r="Q86" s="17">
        <f t="shared" si="79"/>
        <v>198.08</v>
      </c>
      <c r="R86" s="32">
        <v>0.85</v>
      </c>
      <c r="S86" s="24">
        <f t="shared" si="80"/>
        <v>168</v>
      </c>
    </row>
    <row r="87" s="1" customFormat="1" spans="1:19">
      <c r="A87" s="10">
        <v>62</v>
      </c>
      <c r="B87" s="10">
        <v>441882</v>
      </c>
      <c r="C87" s="10" t="s">
        <v>124</v>
      </c>
      <c r="D87" s="10" t="s">
        <v>130</v>
      </c>
      <c r="E87" s="24">
        <f>VLOOKUP(D87,[1]摸底数!B:D,3,0)</f>
        <v>230060</v>
      </c>
      <c r="F87" s="24">
        <f>VLOOKUP(D87,[1]摸底数!B:G,6,0)</f>
        <v>27946</v>
      </c>
      <c r="G87" s="25">
        <f t="shared" si="74"/>
        <v>19014</v>
      </c>
      <c r="H87" s="26">
        <f t="shared" si="75"/>
        <v>38.03</v>
      </c>
      <c r="I87" s="32">
        <v>0.85</v>
      </c>
      <c r="J87" s="34">
        <f t="shared" si="76"/>
        <v>32.33</v>
      </c>
      <c r="K87" s="24">
        <v>37</v>
      </c>
      <c r="L87" s="17">
        <f t="shared" si="78"/>
        <v>69.33</v>
      </c>
      <c r="M87" s="24">
        <v>15</v>
      </c>
      <c r="N87" s="24">
        <v>15</v>
      </c>
      <c r="O87" s="24">
        <v>5</v>
      </c>
      <c r="P87" s="24"/>
      <c r="Q87" s="17">
        <f t="shared" si="79"/>
        <v>108.21</v>
      </c>
      <c r="R87" s="32">
        <v>0.85</v>
      </c>
      <c r="S87" s="24">
        <f t="shared" si="80"/>
        <v>92</v>
      </c>
    </row>
    <row r="88" s="4" customFormat="1" ht="14.25" spans="1:19">
      <c r="A88" s="22">
        <v>85</v>
      </c>
      <c r="B88" s="22">
        <v>445100</v>
      </c>
      <c r="C88" s="22" t="s">
        <v>131</v>
      </c>
      <c r="D88" s="23" t="s">
        <v>132</v>
      </c>
      <c r="E88" s="21">
        <f>SUM(E89:E90)</f>
        <v>577334</v>
      </c>
      <c r="F88" s="21">
        <f>SUM(F89:F90)</f>
        <v>4652</v>
      </c>
      <c r="G88" s="21">
        <f>SUM(G89:G90)</f>
        <v>57069</v>
      </c>
      <c r="H88" s="21">
        <f>SUM(H89:H90)</f>
        <v>114.14</v>
      </c>
      <c r="I88" s="21"/>
      <c r="J88" s="21">
        <f t="shared" ref="J88:Q88" si="81">SUM(J89:J90)</f>
        <v>114.14</v>
      </c>
      <c r="K88" s="21">
        <f t="shared" si="81"/>
        <v>53</v>
      </c>
      <c r="L88" s="21">
        <f t="shared" si="81"/>
        <v>167.14</v>
      </c>
      <c r="M88" s="21">
        <f t="shared" si="81"/>
        <v>30</v>
      </c>
      <c r="N88" s="21">
        <f t="shared" si="81"/>
        <v>15</v>
      </c>
      <c r="O88" s="21">
        <f t="shared" si="81"/>
        <v>5</v>
      </c>
      <c r="P88" s="21">
        <f t="shared" si="81"/>
        <v>0</v>
      </c>
      <c r="Q88" s="21">
        <f t="shared" si="81"/>
        <v>283.13</v>
      </c>
      <c r="R88" s="21"/>
      <c r="S88" s="21">
        <f>SUM(S89:S90)</f>
        <v>280</v>
      </c>
    </row>
    <row r="89" s="4" customFormat="1" spans="1:19">
      <c r="A89" s="22"/>
      <c r="B89" s="22"/>
      <c r="C89" s="22"/>
      <c r="D89" s="10" t="s">
        <v>58</v>
      </c>
      <c r="E89" s="21"/>
      <c r="F89" s="24"/>
      <c r="G89" s="21"/>
      <c r="H89" s="22"/>
      <c r="I89" s="32">
        <v>0.85</v>
      </c>
      <c r="J89" s="32"/>
      <c r="K89" s="24">
        <v>16</v>
      </c>
      <c r="L89" s="17">
        <f t="shared" ref="L89:L95" si="82">ROUND(J89+K89,2)</f>
        <v>16</v>
      </c>
      <c r="M89" s="24">
        <v>15</v>
      </c>
      <c r="N89" s="21"/>
      <c r="O89" s="21"/>
      <c r="P89" s="21"/>
      <c r="Q89" s="17">
        <f t="shared" ref="Q89:Q95" si="83">SUM(H89:K89)</f>
        <v>16.85</v>
      </c>
      <c r="R89" s="32">
        <v>0.85</v>
      </c>
      <c r="S89" s="24">
        <f t="shared" ref="S89:S95" si="84">ROUND(Q89*R89,0)</f>
        <v>14</v>
      </c>
    </row>
    <row r="90" s="1" customFormat="1" spans="1:19">
      <c r="A90" s="10">
        <v>64</v>
      </c>
      <c r="B90" s="10">
        <v>445122</v>
      </c>
      <c r="C90" s="10" t="s">
        <v>131</v>
      </c>
      <c r="D90" s="10" t="s">
        <v>133</v>
      </c>
      <c r="E90" s="24">
        <f>VLOOKUP(D90,[1]摸底数!B:D,3,0)</f>
        <v>577334</v>
      </c>
      <c r="F90" s="24">
        <f>VLOOKUP(D90,[1]摸底数!B:G,6,0)</f>
        <v>4652</v>
      </c>
      <c r="G90" s="25">
        <f t="shared" ref="G90:G95" si="85">ROUND((E90-F90/0.7)*0.1,0)</f>
        <v>57069</v>
      </c>
      <c r="H90" s="26">
        <f t="shared" ref="H90:H95" si="86">ROUND(G90*20/10000,2)</f>
        <v>114.14</v>
      </c>
      <c r="I90" s="32">
        <v>1</v>
      </c>
      <c r="J90" s="34">
        <f t="shared" ref="J90:J95" si="87">ROUND(H90*I90,2)</f>
        <v>114.14</v>
      </c>
      <c r="K90" s="24">
        <v>37</v>
      </c>
      <c r="L90" s="17">
        <f t="shared" si="82"/>
        <v>151.14</v>
      </c>
      <c r="M90" s="24">
        <v>15</v>
      </c>
      <c r="N90" s="24">
        <v>15</v>
      </c>
      <c r="O90" s="24">
        <v>5</v>
      </c>
      <c r="P90" s="24"/>
      <c r="Q90" s="17">
        <f t="shared" si="83"/>
        <v>266.28</v>
      </c>
      <c r="R90" s="32">
        <v>1</v>
      </c>
      <c r="S90" s="24">
        <f t="shared" si="84"/>
        <v>266</v>
      </c>
    </row>
    <row r="91" s="4" customFormat="1" ht="14.25" spans="1:19">
      <c r="A91" s="22">
        <v>86</v>
      </c>
      <c r="B91" s="22">
        <v>445200</v>
      </c>
      <c r="C91" s="22" t="s">
        <v>134</v>
      </c>
      <c r="D91" s="23" t="s">
        <v>135</v>
      </c>
      <c r="E91" s="21">
        <f>SUM(E92:E95)</f>
        <v>1945919</v>
      </c>
      <c r="F91" s="21">
        <f>SUM(F92:F95)</f>
        <v>13897</v>
      </c>
      <c r="G91" s="21">
        <f>SUM(G92:G95)</f>
        <v>192607</v>
      </c>
      <c r="H91" s="21">
        <f>SUM(H92:H95)</f>
        <v>385.21</v>
      </c>
      <c r="I91" s="21"/>
      <c r="J91" s="21">
        <f t="shared" ref="J91:Q91" si="88">SUM(J92:J95)</f>
        <v>385.21</v>
      </c>
      <c r="K91" s="21">
        <f t="shared" si="88"/>
        <v>127</v>
      </c>
      <c r="L91" s="21">
        <f t="shared" si="88"/>
        <v>512.21</v>
      </c>
      <c r="M91" s="21">
        <f t="shared" si="88"/>
        <v>60</v>
      </c>
      <c r="N91" s="21">
        <f t="shared" si="88"/>
        <v>45</v>
      </c>
      <c r="O91" s="21">
        <f t="shared" si="88"/>
        <v>15</v>
      </c>
      <c r="P91" s="21">
        <f t="shared" si="88"/>
        <v>0</v>
      </c>
      <c r="Q91" s="21">
        <f t="shared" si="88"/>
        <v>901.27</v>
      </c>
      <c r="R91" s="21"/>
      <c r="S91" s="21">
        <f>SUM(S92:S95)</f>
        <v>898</v>
      </c>
    </row>
    <row r="92" s="4" customFormat="1" spans="1:19">
      <c r="A92" s="22"/>
      <c r="B92" s="22"/>
      <c r="C92" s="22"/>
      <c r="D92" s="10" t="s">
        <v>58</v>
      </c>
      <c r="E92" s="21"/>
      <c r="F92" s="24"/>
      <c r="G92" s="21"/>
      <c r="H92" s="22"/>
      <c r="I92" s="32">
        <v>0.85</v>
      </c>
      <c r="J92" s="32"/>
      <c r="K92" s="24">
        <v>16</v>
      </c>
      <c r="L92" s="17">
        <f t="shared" si="82"/>
        <v>16</v>
      </c>
      <c r="M92" s="24">
        <v>15</v>
      </c>
      <c r="N92" s="21"/>
      <c r="O92" s="21"/>
      <c r="P92" s="21"/>
      <c r="Q92" s="17">
        <f t="shared" si="83"/>
        <v>16.85</v>
      </c>
      <c r="R92" s="32">
        <v>0.85</v>
      </c>
      <c r="S92" s="24">
        <f t="shared" si="84"/>
        <v>14</v>
      </c>
    </row>
    <row r="93" s="1" customFormat="1" spans="1:19">
      <c r="A93" s="10">
        <v>66</v>
      </c>
      <c r="B93" s="10">
        <v>445222</v>
      </c>
      <c r="C93" s="10" t="s">
        <v>134</v>
      </c>
      <c r="D93" s="10" t="s">
        <v>136</v>
      </c>
      <c r="E93" s="24">
        <f>VLOOKUP(D93,[1]摸底数!B:D,3,0)</f>
        <v>366294</v>
      </c>
      <c r="F93" s="24">
        <f>VLOOKUP(D93,[1]摸底数!B:G,6,0)</f>
        <v>1978</v>
      </c>
      <c r="G93" s="25">
        <f t="shared" si="85"/>
        <v>36347</v>
      </c>
      <c r="H93" s="26">
        <f t="shared" si="86"/>
        <v>72.69</v>
      </c>
      <c r="I93" s="32">
        <v>1</v>
      </c>
      <c r="J93" s="34">
        <f t="shared" si="87"/>
        <v>72.69</v>
      </c>
      <c r="K93" s="24">
        <v>37</v>
      </c>
      <c r="L93" s="17">
        <f t="shared" si="82"/>
        <v>109.69</v>
      </c>
      <c r="M93" s="24">
        <v>15</v>
      </c>
      <c r="N93" s="24">
        <v>15</v>
      </c>
      <c r="O93" s="24">
        <v>5</v>
      </c>
      <c r="P93" s="24"/>
      <c r="Q93" s="17">
        <f t="shared" si="83"/>
        <v>183.38</v>
      </c>
      <c r="R93" s="32">
        <v>1</v>
      </c>
      <c r="S93" s="24">
        <f t="shared" si="84"/>
        <v>183</v>
      </c>
    </row>
    <row r="94" s="1" customFormat="1" spans="1:19">
      <c r="A94" s="10">
        <v>67</v>
      </c>
      <c r="B94" s="10">
        <v>445224</v>
      </c>
      <c r="C94" s="10" t="s">
        <v>134</v>
      </c>
      <c r="D94" s="10" t="s">
        <v>137</v>
      </c>
      <c r="E94" s="24">
        <f>VLOOKUP(D94,[1]摸底数!B:D,3,0)</f>
        <v>554985</v>
      </c>
      <c r="F94" s="24">
        <f>VLOOKUP(D94,[1]摸底数!B:G,6,0)</f>
        <v>6284</v>
      </c>
      <c r="G94" s="25">
        <f t="shared" si="85"/>
        <v>54601</v>
      </c>
      <c r="H94" s="26">
        <f t="shared" si="86"/>
        <v>109.2</v>
      </c>
      <c r="I94" s="32">
        <v>1</v>
      </c>
      <c r="J94" s="34">
        <f t="shared" si="87"/>
        <v>109.2</v>
      </c>
      <c r="K94" s="24">
        <v>37</v>
      </c>
      <c r="L94" s="17">
        <f t="shared" si="82"/>
        <v>146.2</v>
      </c>
      <c r="M94" s="24">
        <v>15</v>
      </c>
      <c r="N94" s="24">
        <v>15</v>
      </c>
      <c r="O94" s="24">
        <v>5</v>
      </c>
      <c r="P94" s="24"/>
      <c r="Q94" s="17">
        <f t="shared" si="83"/>
        <v>256.4</v>
      </c>
      <c r="R94" s="32">
        <v>1</v>
      </c>
      <c r="S94" s="24">
        <f t="shared" si="84"/>
        <v>256</v>
      </c>
    </row>
    <row r="95" s="1" customFormat="1" spans="1:19">
      <c r="A95" s="10">
        <v>68</v>
      </c>
      <c r="B95" s="10">
        <v>445281</v>
      </c>
      <c r="C95" s="10" t="s">
        <v>134</v>
      </c>
      <c r="D95" s="10" t="s">
        <v>138</v>
      </c>
      <c r="E95" s="24">
        <f>VLOOKUP(D95,[1]摸底数!B:D,3,0)</f>
        <v>1024640</v>
      </c>
      <c r="F95" s="24">
        <f>VLOOKUP(D95,[1]摸底数!B:G,6,0)</f>
        <v>5635</v>
      </c>
      <c r="G95" s="25">
        <f t="shared" si="85"/>
        <v>101659</v>
      </c>
      <c r="H95" s="26">
        <f t="shared" si="86"/>
        <v>203.32</v>
      </c>
      <c r="I95" s="32">
        <v>1</v>
      </c>
      <c r="J95" s="34">
        <f t="shared" si="87"/>
        <v>203.32</v>
      </c>
      <c r="K95" s="24">
        <v>37</v>
      </c>
      <c r="L95" s="17">
        <f t="shared" si="82"/>
        <v>240.32</v>
      </c>
      <c r="M95" s="24">
        <v>15</v>
      </c>
      <c r="N95" s="24">
        <v>15</v>
      </c>
      <c r="O95" s="24">
        <v>5</v>
      </c>
      <c r="P95" s="24"/>
      <c r="Q95" s="17">
        <f t="shared" si="83"/>
        <v>444.64</v>
      </c>
      <c r="R95" s="32">
        <v>1</v>
      </c>
      <c r="S95" s="24">
        <f t="shared" si="84"/>
        <v>445</v>
      </c>
    </row>
    <row r="96" s="4" customFormat="1" ht="14.25" spans="1:19">
      <c r="A96" s="22">
        <v>87</v>
      </c>
      <c r="B96" s="22">
        <v>445300</v>
      </c>
      <c r="C96" s="22" t="s">
        <v>139</v>
      </c>
      <c r="D96" s="23" t="s">
        <v>140</v>
      </c>
      <c r="E96" s="21">
        <f>SUM(E97:E100)</f>
        <v>942096</v>
      </c>
      <c r="F96" s="21">
        <f>SUM(F97:F100)</f>
        <v>68637</v>
      </c>
      <c r="G96" s="21">
        <f>SUM(G97:G100)</f>
        <v>84404</v>
      </c>
      <c r="H96" s="21">
        <f>SUM(H97:H100)</f>
        <v>168.81</v>
      </c>
      <c r="I96" s="21"/>
      <c r="J96" s="21">
        <f t="shared" ref="J96:Q96" si="89">SUM(J97:J100)</f>
        <v>143.49</v>
      </c>
      <c r="K96" s="21">
        <f t="shared" si="89"/>
        <v>127</v>
      </c>
      <c r="L96" s="21">
        <f t="shared" si="89"/>
        <v>270.49</v>
      </c>
      <c r="M96" s="21">
        <f t="shared" si="89"/>
        <v>60</v>
      </c>
      <c r="N96" s="21">
        <f t="shared" si="89"/>
        <v>45</v>
      </c>
      <c r="O96" s="21">
        <f t="shared" si="89"/>
        <v>15</v>
      </c>
      <c r="P96" s="21">
        <f t="shared" si="89"/>
        <v>0</v>
      </c>
      <c r="Q96" s="21">
        <f t="shared" si="89"/>
        <v>442.7</v>
      </c>
      <c r="R96" s="21"/>
      <c r="S96" s="21">
        <f>SUM(S97:S100)</f>
        <v>375</v>
      </c>
    </row>
    <row r="97" s="4" customFormat="1" spans="1:19">
      <c r="A97" s="22"/>
      <c r="B97" s="22"/>
      <c r="C97" s="22"/>
      <c r="D97" s="10" t="s">
        <v>58</v>
      </c>
      <c r="E97" s="21"/>
      <c r="F97" s="24"/>
      <c r="G97" s="21"/>
      <c r="H97" s="22"/>
      <c r="I97" s="32">
        <v>0.85</v>
      </c>
      <c r="J97" s="32"/>
      <c r="K97" s="24">
        <v>16</v>
      </c>
      <c r="L97" s="17">
        <f t="shared" ref="L97:L100" si="90">ROUND(J97+K97,2)</f>
        <v>16</v>
      </c>
      <c r="M97" s="24">
        <v>15</v>
      </c>
      <c r="N97" s="21"/>
      <c r="O97" s="21"/>
      <c r="P97" s="21"/>
      <c r="Q97" s="17">
        <f t="shared" ref="Q97:Q100" si="91">SUM(H97:K97)</f>
        <v>16.85</v>
      </c>
      <c r="R97" s="32">
        <v>0.85</v>
      </c>
      <c r="S97" s="24">
        <f t="shared" ref="S97:S100" si="92">ROUND(Q97*R97,0)</f>
        <v>14</v>
      </c>
    </row>
    <row r="98" s="1" customFormat="1" spans="1:19">
      <c r="A98" s="10">
        <v>70</v>
      </c>
      <c r="B98" s="10">
        <v>445321</v>
      </c>
      <c r="C98" s="10" t="s">
        <v>139</v>
      </c>
      <c r="D98" s="10" t="s">
        <v>141</v>
      </c>
      <c r="E98" s="24">
        <f>VLOOKUP(D98,[1]摸底数!B:D,3,0)</f>
        <v>271061</v>
      </c>
      <c r="F98" s="24">
        <f>VLOOKUP(D98,[1]摸底数!B:G,6,0)</f>
        <v>15657</v>
      </c>
      <c r="G98" s="25">
        <f t="shared" ref="G98:G100" si="93">ROUND((E98-F98/0.7)*0.1,0)</f>
        <v>24869</v>
      </c>
      <c r="H98" s="26">
        <f t="shared" ref="H98:H100" si="94">ROUND(G98*20/10000,2)</f>
        <v>49.74</v>
      </c>
      <c r="I98" s="32">
        <v>0.85</v>
      </c>
      <c r="J98" s="34">
        <f t="shared" ref="J98:J100" si="95">ROUND(H98*I98,2)</f>
        <v>42.28</v>
      </c>
      <c r="K98" s="24">
        <v>37</v>
      </c>
      <c r="L98" s="17">
        <f t="shared" si="90"/>
        <v>79.28</v>
      </c>
      <c r="M98" s="24">
        <v>15</v>
      </c>
      <c r="N98" s="24">
        <v>15</v>
      </c>
      <c r="O98" s="24">
        <v>5</v>
      </c>
      <c r="P98" s="24"/>
      <c r="Q98" s="17">
        <f t="shared" si="91"/>
        <v>129.87</v>
      </c>
      <c r="R98" s="32">
        <v>0.85</v>
      </c>
      <c r="S98" s="24">
        <f t="shared" si="92"/>
        <v>110</v>
      </c>
    </row>
    <row r="99" s="1" customFormat="1" spans="1:19">
      <c r="A99" s="10">
        <v>71</v>
      </c>
      <c r="B99" s="10">
        <v>445322</v>
      </c>
      <c r="C99" s="10" t="s">
        <v>139</v>
      </c>
      <c r="D99" s="10" t="s">
        <v>142</v>
      </c>
      <c r="E99" s="24">
        <f>VLOOKUP(D99,[1]摸底数!B:D,3,0)</f>
        <v>217762</v>
      </c>
      <c r="F99" s="24">
        <f>VLOOKUP(D99,[1]摸底数!B:G,6,0)</f>
        <v>16410</v>
      </c>
      <c r="G99" s="25">
        <f t="shared" si="93"/>
        <v>19432</v>
      </c>
      <c r="H99" s="26">
        <f t="shared" si="94"/>
        <v>38.86</v>
      </c>
      <c r="I99" s="32">
        <v>0.85</v>
      </c>
      <c r="J99" s="34">
        <f t="shared" si="95"/>
        <v>33.03</v>
      </c>
      <c r="K99" s="24">
        <v>37</v>
      </c>
      <c r="L99" s="17">
        <f t="shared" si="90"/>
        <v>70.03</v>
      </c>
      <c r="M99" s="24">
        <v>15</v>
      </c>
      <c r="N99" s="24">
        <v>15</v>
      </c>
      <c r="O99" s="24">
        <v>5</v>
      </c>
      <c r="P99" s="24"/>
      <c r="Q99" s="17">
        <f t="shared" si="91"/>
        <v>109.74</v>
      </c>
      <c r="R99" s="32">
        <v>0.85</v>
      </c>
      <c r="S99" s="24">
        <f t="shared" si="92"/>
        <v>93</v>
      </c>
    </row>
    <row r="100" s="1" customFormat="1" spans="1:19">
      <c r="A100" s="10">
        <v>72</v>
      </c>
      <c r="B100" s="10">
        <v>445381</v>
      </c>
      <c r="C100" s="10" t="s">
        <v>139</v>
      </c>
      <c r="D100" s="10" t="s">
        <v>143</v>
      </c>
      <c r="E100" s="24">
        <f>VLOOKUP(D100,[1]摸底数!B:D,3,0)</f>
        <v>453273</v>
      </c>
      <c r="F100" s="24">
        <f>VLOOKUP(D100,[1]摸底数!B:G,6,0)</f>
        <v>36570</v>
      </c>
      <c r="G100" s="25">
        <f t="shared" si="93"/>
        <v>40103</v>
      </c>
      <c r="H100" s="26">
        <f t="shared" si="94"/>
        <v>80.21</v>
      </c>
      <c r="I100" s="32">
        <v>0.85</v>
      </c>
      <c r="J100" s="34">
        <f t="shared" si="95"/>
        <v>68.18</v>
      </c>
      <c r="K100" s="24">
        <v>37</v>
      </c>
      <c r="L100" s="17">
        <f t="shared" si="90"/>
        <v>105.18</v>
      </c>
      <c r="M100" s="24">
        <v>15</v>
      </c>
      <c r="N100" s="24">
        <v>15</v>
      </c>
      <c r="O100" s="24">
        <v>5</v>
      </c>
      <c r="P100" s="24"/>
      <c r="Q100" s="17">
        <f t="shared" si="91"/>
        <v>186.24</v>
      </c>
      <c r="R100" s="32">
        <v>0.85</v>
      </c>
      <c r="S100" s="24">
        <f t="shared" si="92"/>
        <v>158</v>
      </c>
    </row>
    <row r="101" s="1" customFormat="1" spans="5:19">
      <c r="E101" s="5"/>
      <c r="F101" s="5"/>
      <c r="G101" s="5"/>
      <c r="M101" s="5"/>
      <c r="N101" s="5"/>
      <c r="O101" s="5"/>
      <c r="P101" s="5"/>
      <c r="Q101" s="5"/>
      <c r="S101" s="5"/>
    </row>
    <row r="102" s="1" customFormat="1" ht="74" customHeight="1" spans="4:19">
      <c r="D102" s="36" t="s">
        <v>576</v>
      </c>
      <c r="E102" s="36"/>
      <c r="F102" s="36"/>
      <c r="G102" s="36"/>
      <c r="H102" s="36"/>
      <c r="I102" s="36"/>
      <c r="J102" s="36"/>
      <c r="K102" s="36"/>
      <c r="L102" s="39"/>
      <c r="M102" s="36"/>
      <c r="N102" s="36"/>
      <c r="O102" s="36"/>
      <c r="P102" s="36"/>
      <c r="Q102" s="36"/>
      <c r="R102" s="36"/>
      <c r="S102" s="36"/>
    </row>
    <row r="103" s="1" customFormat="1" ht="11" customHeight="1" spans="4:19">
      <c r="D103" s="37"/>
      <c r="E103" s="38"/>
      <c r="F103" s="38"/>
      <c r="G103" s="38"/>
      <c r="H103" s="37"/>
      <c r="I103" s="37"/>
      <c r="J103" s="37"/>
      <c r="K103" s="37"/>
      <c r="L103" s="3"/>
      <c r="M103" s="38"/>
      <c r="N103" s="38"/>
      <c r="O103" s="38"/>
      <c r="P103" s="38"/>
      <c r="Q103" s="38"/>
      <c r="R103" s="37"/>
      <c r="S103" s="38"/>
    </row>
    <row r="104" s="1" customFormat="1" ht="11" customHeight="1" spans="4:19">
      <c r="D104" s="37"/>
      <c r="E104" s="38"/>
      <c r="F104" s="38"/>
      <c r="G104" s="38"/>
      <c r="H104" s="37"/>
      <c r="I104" s="37"/>
      <c r="J104" s="37"/>
      <c r="K104" s="37"/>
      <c r="L104" s="3"/>
      <c r="M104" s="38"/>
      <c r="N104" s="38"/>
      <c r="O104" s="38"/>
      <c r="P104" s="38"/>
      <c r="Q104" s="38"/>
      <c r="R104" s="37"/>
      <c r="S104" s="38"/>
    </row>
    <row r="105" s="1" customFormat="1" ht="11" customHeight="1" spans="4:19">
      <c r="D105" s="37"/>
      <c r="E105" s="38"/>
      <c r="F105" s="38"/>
      <c r="G105" s="38"/>
      <c r="H105" s="37"/>
      <c r="I105" s="37"/>
      <c r="J105" s="37"/>
      <c r="K105" s="37"/>
      <c r="L105" s="3"/>
      <c r="M105" s="38"/>
      <c r="N105" s="38"/>
      <c r="O105" s="38"/>
      <c r="P105" s="38"/>
      <c r="Q105" s="38"/>
      <c r="R105" s="37"/>
      <c r="S105" s="38"/>
    </row>
    <row r="106" s="1" customFormat="1" ht="11" customHeight="1" spans="4:19">
      <c r="D106" s="37"/>
      <c r="E106" s="38"/>
      <c r="F106" s="38"/>
      <c r="G106" s="38"/>
      <c r="H106" s="37"/>
      <c r="I106" s="37"/>
      <c r="J106" s="37"/>
      <c r="K106" s="37"/>
      <c r="L106" s="3"/>
      <c r="M106" s="38"/>
      <c r="N106" s="38"/>
      <c r="O106" s="38"/>
      <c r="P106" s="38"/>
      <c r="Q106" s="38"/>
      <c r="R106" s="37"/>
      <c r="S106" s="38"/>
    </row>
    <row r="107" s="1" customFormat="1" ht="11" customHeight="1" spans="4:19">
      <c r="D107" s="37"/>
      <c r="E107" s="38"/>
      <c r="F107" s="38"/>
      <c r="G107" s="38"/>
      <c r="H107" s="37"/>
      <c r="I107" s="37"/>
      <c r="J107" s="37"/>
      <c r="K107" s="37"/>
      <c r="L107" s="3"/>
      <c r="M107" s="38"/>
      <c r="N107" s="38"/>
      <c r="O107" s="38"/>
      <c r="P107" s="38"/>
      <c r="Q107" s="38"/>
      <c r="R107" s="37"/>
      <c r="S107" s="38"/>
    </row>
    <row r="108" s="1" customFormat="1" ht="11" customHeight="1" spans="4:19">
      <c r="D108" s="37"/>
      <c r="E108" s="38"/>
      <c r="F108" s="38"/>
      <c r="G108" s="38"/>
      <c r="H108" s="37"/>
      <c r="I108" s="37"/>
      <c r="J108" s="37"/>
      <c r="K108" s="37"/>
      <c r="L108" s="3"/>
      <c r="M108" s="38"/>
      <c r="N108" s="38"/>
      <c r="O108" s="38"/>
      <c r="P108" s="38"/>
      <c r="Q108" s="38"/>
      <c r="R108" s="37"/>
      <c r="S108" s="38"/>
    </row>
    <row r="109" s="1" customFormat="1" ht="11" customHeight="1" spans="4:19">
      <c r="D109" s="37"/>
      <c r="E109" s="38"/>
      <c r="F109" s="38"/>
      <c r="G109" s="38"/>
      <c r="H109" s="37"/>
      <c r="I109" s="37"/>
      <c r="J109" s="37"/>
      <c r="K109" s="37"/>
      <c r="L109" s="3"/>
      <c r="M109" s="38"/>
      <c r="N109" s="38"/>
      <c r="O109" s="38"/>
      <c r="P109" s="38"/>
      <c r="Q109" s="38"/>
      <c r="R109" s="37"/>
      <c r="S109" s="38"/>
    </row>
  </sheetData>
  <mergeCells count="6">
    <mergeCell ref="D1:S1"/>
    <mergeCell ref="E2:J2"/>
    <mergeCell ref="D102:S102"/>
    <mergeCell ref="D2:D3"/>
    <mergeCell ref="K2:K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一次预算</vt:lpstr>
      <vt:lpstr>调整省级经费计划</vt:lpstr>
      <vt:lpstr>二次预算</vt:lpstr>
      <vt:lpstr>拟报三次预算（作废）</vt:lpstr>
      <vt:lpstr>新增（仅29个区）（作废）</vt:lpstr>
      <vt:lpstr>省级明细0927</vt:lpstr>
      <vt:lpstr>2024年预算</vt:lpstr>
      <vt:lpstr>Sheet1</vt:lpstr>
      <vt:lpstr>Sheet2</vt:lpstr>
      <vt:lpstr>Sheet5</vt:lpstr>
      <vt:lpstr>2024年报送预算数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蓝韵华</dc:creator>
  <cp:lastModifiedBy>姜寒云</cp:lastModifiedBy>
  <dcterms:created xsi:type="dcterms:W3CDTF">2023-08-21T23:43:00Z</dcterms:created>
  <dcterms:modified xsi:type="dcterms:W3CDTF">2024-02-01T10:07:22Z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4CA20BAB9D5248A8AF7EBED647BEAF95_13</vt:lpwstr>
  </property>
</Properties>
</file>