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80" tabRatio="667" firstSheet="6" activeTab="6"/>
  </bookViews>
  <sheets>
    <sheet name="一次预算" sheetId="1" state="hidden" r:id="rId1"/>
    <sheet name="调整省级经费计划" sheetId="3" state="hidden" r:id="rId2"/>
    <sheet name="二次预算" sheetId="9" state="hidden" r:id="rId3"/>
    <sheet name="拟报三次预算（作废）" sheetId="8" state="hidden" r:id="rId4"/>
    <sheet name="新增（仅29个区）（作废）" sheetId="5" state="hidden" r:id="rId5"/>
    <sheet name="省级明细0927" sheetId="11" state="hidden" r:id="rId6"/>
    <sheet name="2024年预算" sheetId="14" r:id="rId7"/>
    <sheet name="Sheet1" sheetId="6" state="hidden" r:id="rId8"/>
    <sheet name="Sheet2" sheetId="7" state="hidden" r:id="rId9"/>
    <sheet name="Sheet5" sheetId="10" state="hidden" r:id="rId10"/>
    <sheet name="2024年报送预算数" sheetId="2" state="hidden" r:id="rId11"/>
  </sheets>
  <externalReferences>
    <externalReference r:id="rId12"/>
  </externalReferences>
  <definedNames>
    <definedName name="_xlnm._FilterDatabase" localSheetId="0" hidden="1">一次预算!$4:$102</definedName>
    <definedName name="_xlnm._FilterDatabase" localSheetId="3" hidden="1">'拟报三次预算（作废）'!$A$3:$S$129</definedName>
    <definedName name="_xlnm._FilterDatabase" localSheetId="4" hidden="1">'新增（仅29个区）（作废）'!$A$2:$Q$45</definedName>
    <definedName name="_xlnm._FilterDatabase" localSheetId="7" hidden="1">Sheet1!$A$2:$HA$189</definedName>
    <definedName name="_xlnm._FilterDatabase" localSheetId="8" hidden="1">Sheet2!$2:$126</definedName>
    <definedName name="_xlnm._FilterDatabase" localSheetId="6" hidden="1">'2024年预算'!$A$4:$B$101</definedName>
    <definedName name="_xlnm.Print_Area" localSheetId="0">一次预算!$C$1:$S$102</definedName>
    <definedName name="_xlnm.Print_Titles" localSheetId="0">一次预算!$2:$4</definedName>
    <definedName name="_xlnm.Print_Titles" localSheetId="4">'新增（仅29个区）（作废）'!$2:$2</definedName>
    <definedName name="_xlnm.Print_Titles" localSheetId="6">'2024年预算'!$3:$4</definedName>
  </definedNames>
  <calcPr calcId="144525"/>
</workbook>
</file>

<file path=xl/comments1.xml><?xml version="1.0" encoding="utf-8"?>
<comments xmlns="http://schemas.openxmlformats.org/spreadsheetml/2006/main">
  <authors>
    <author>蓝韵华</author>
  </authors>
  <commentList>
    <comment ref="E7" authorId="0">
      <text>
        <r>
          <rPr>
            <b/>
            <sz val="9"/>
            <rFont val="宋体"/>
            <charset val="134"/>
          </rPr>
          <t>蓝韵华:</t>
        </r>
        <r>
          <rPr>
            <sz val="9"/>
            <rFont val="宋体"/>
            <charset val="134"/>
          </rPr>
          <t xml:space="preserve">
（基层处报）1.现场调研指导差旅费和劳务补助35万元：57个县，每个县安排3位专家，每人每天550元食宿补助，每个县合计安排2天（分2次），专家劳务补助500元/天。
2.技术培训费125万元，用于在57个县举办筛查、检测结果解读、随访、信息报告、转诊、健康教育等培训，每个县培训10名师资，每人每天550元，培训2期，每期2天。</t>
        </r>
      </text>
    </comment>
    <comment ref="F7" authorId="0">
      <text>
        <r>
          <rPr>
            <b/>
            <sz val="9"/>
            <rFont val="宋体"/>
            <charset val="134"/>
          </rPr>
          <t>蓝韵华:</t>
        </r>
        <r>
          <rPr>
            <sz val="9"/>
            <rFont val="宋体"/>
            <charset val="134"/>
          </rPr>
          <t xml:space="preserve">
(省疾控核报）广东省公共卫生研究院的项目评估经费预算修订为99万元，其中2024年为39万元，2025年为30万元，2026年为30万元。经费用于开展项目评估、筛查技术指导、质量控制、数据清洗和分析、评估报告撰写等工作。
测算依据：1.技术培训及研讨费：21万元，拟用于举办质量控制、数据清洗和分析等培训；以及举办方案论证、项目技术评估和卫生经济学评估等研讨会；2.差旅费：20万元，用于项目评估、质量控制、筛查技术指导或参加相关会议产生的差旅费；3.专家咨询费/劳务费：50万元，给予方案编制、报告审查、筛查技术指导、数据质控及分析、评估报告撰写等专家咨询费/劳务费；4.材料费：8万元，用于印刷培训材料、质量控制问卷及项目开展所需的材料。</t>
        </r>
      </text>
    </comment>
  </commentList>
</comments>
</file>

<file path=xl/sharedStrings.xml><?xml version="1.0" encoding="utf-8"?>
<sst xmlns="http://schemas.openxmlformats.org/spreadsheetml/2006/main" count="2167" uniqueCount="577">
  <si>
    <t>广东省病毒性肝炎早防早治项目预算</t>
  </si>
  <si>
    <t>地区</t>
  </si>
  <si>
    <t>筛查、接种、随访经费</t>
  </si>
  <si>
    <t>工作经费测算</t>
  </si>
  <si>
    <t>省财政承担费用合计
（万元）</t>
  </si>
  <si>
    <t>区划码</t>
  </si>
  <si>
    <t>市</t>
  </si>
  <si>
    <t>20-70岁人口数（人）</t>
  </si>
  <si>
    <t>摸底乙肝表面抗原阳性人数（人）</t>
  </si>
  <si>
    <t>目标筛查人数（人）</t>
  </si>
  <si>
    <t>估计筛查中发现HBsAg阳性人数（人）</t>
  </si>
  <si>
    <t>筛查费用（万元）</t>
  </si>
  <si>
    <t>疫苗接种服务费 (万元）</t>
  </si>
  <si>
    <t>随访费用
（万元）</t>
  </si>
  <si>
    <t>筛查、接种和随访费用小计
（万元）</t>
  </si>
  <si>
    <t>共同财政事权补助比例</t>
  </si>
  <si>
    <t>省财政补助筛查和接种费用
（万元）</t>
  </si>
  <si>
    <t>宣传费用
（万元）</t>
  </si>
  <si>
    <t>培训费用
（万元）</t>
  </si>
  <si>
    <t>信息化改造
（万元）</t>
  </si>
  <si>
    <t>项目评估费用
（万元）</t>
  </si>
  <si>
    <t>工作经费小计
（万元）</t>
  </si>
  <si>
    <t>信息化</t>
  </si>
  <si>
    <t>合计</t>
  </si>
  <si>
    <t>省级财政补助金额
（万元）</t>
  </si>
  <si>
    <t>栏次</t>
  </si>
  <si>
    <t>A</t>
  </si>
  <si>
    <t>B</t>
  </si>
  <si>
    <t>C=A*70%-B</t>
  </si>
  <si>
    <t>D=C*9%阳性率</t>
  </si>
  <si>
    <t>E=C*20元/人</t>
  </si>
  <si>
    <t>F=C*50%抗体阴性率*60%接种意愿*21元/剂次</t>
  </si>
  <si>
    <t>G=D*40%慢乙肝比例*10元/人</t>
  </si>
  <si>
    <t>H=E+F+G</t>
  </si>
  <si>
    <t>I</t>
  </si>
  <si>
    <t>J=H*I</t>
  </si>
  <si>
    <t>K</t>
  </si>
  <si>
    <t>L</t>
  </si>
  <si>
    <t>M</t>
  </si>
  <si>
    <t>N</t>
  </si>
  <si>
    <t>O</t>
  </si>
  <si>
    <t>P=J+O</t>
  </si>
  <si>
    <t>G</t>
  </si>
  <si>
    <t>H</t>
  </si>
  <si>
    <t>J</t>
  </si>
  <si>
    <t>K=E+F+G+H+I</t>
  </si>
  <si>
    <t>M=K*L</t>
  </si>
  <si>
    <t>全省合计</t>
  </si>
  <si>
    <t>省级单位小计</t>
  </si>
  <si>
    <t>省卫生健康委</t>
  </si>
  <si>
    <t>省疾控中心</t>
  </si>
  <si>
    <t>省公共卫生研究院</t>
  </si>
  <si>
    <t>省妇幼保健院</t>
  </si>
  <si>
    <t>南方医院</t>
  </si>
  <si>
    <t>中山三院</t>
  </si>
  <si>
    <t>地市小计</t>
  </si>
  <si>
    <t>4402</t>
  </si>
  <si>
    <t>韶关市</t>
  </si>
  <si>
    <t>市本级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</si>
  <si>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始兴县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</si>
  <si>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仁化县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</si>
  <si>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翁源县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</si>
  <si>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乳源瑶族自治县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</si>
  <si>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新丰县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</si>
  <si>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乐昌市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</si>
  <si>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南雄市</t>
    </r>
  </si>
  <si>
    <t>4405</t>
  </si>
  <si>
    <t>汕头市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</si>
  <si>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南澳县</t>
    </r>
  </si>
  <si>
    <t>4407</t>
  </si>
  <si>
    <t>江门市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</si>
  <si>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台山市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</si>
  <si>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开平市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</si>
  <si>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鹤山市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</si>
  <si>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恩平市</t>
    </r>
  </si>
  <si>
    <t>4408</t>
  </si>
  <si>
    <t>湛江市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</si>
  <si>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遂溪县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</si>
  <si>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徐闻县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</si>
  <si>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廉江市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</si>
  <si>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雷州市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</si>
  <si>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吴川市</t>
    </r>
  </si>
  <si>
    <t>4409</t>
  </si>
  <si>
    <t>茂名市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</si>
  <si>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高州市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</si>
  <si>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化州市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</si>
  <si>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信宜市</t>
    </r>
  </si>
  <si>
    <t>4412</t>
  </si>
  <si>
    <t>肇庆市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</si>
  <si>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广宁县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</si>
  <si>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怀集县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</si>
  <si>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封开县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</si>
  <si>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德庆县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</si>
  <si>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四会市</t>
    </r>
  </si>
  <si>
    <t>4413</t>
  </si>
  <si>
    <t>惠州市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</si>
  <si>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博罗县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</si>
  <si>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惠东县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</si>
  <si>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龙门县</t>
    </r>
  </si>
  <si>
    <t>4414</t>
  </si>
  <si>
    <t>梅州市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</si>
  <si>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大埔县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</si>
  <si>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丰顺县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</si>
  <si>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五华县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</si>
  <si>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平远县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</si>
  <si>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蕉岭县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</si>
  <si>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兴宁市</t>
    </r>
  </si>
  <si>
    <t>4415</t>
  </si>
  <si>
    <t>汕尾市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</si>
  <si>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海丰县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</si>
  <si>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陆河县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</si>
  <si>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陆丰市</t>
    </r>
  </si>
  <si>
    <t>4416</t>
  </si>
  <si>
    <t>河源市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</si>
  <si>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紫金县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</si>
  <si>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龙川县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</si>
  <si>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连平县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</si>
  <si>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和平县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</si>
  <si>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东源县</t>
    </r>
  </si>
  <si>
    <t>4417</t>
  </si>
  <si>
    <t>阳江市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</si>
  <si>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阳西县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</si>
  <si>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阳春市</t>
    </r>
  </si>
  <si>
    <t>清远市</t>
  </si>
  <si>
    <t>4418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</si>
  <si>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佛冈县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</si>
  <si>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阳山县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</si>
  <si>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连山壮族瑶族自治县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</si>
  <si>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连南瑶族自治县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</si>
  <si>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英德市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</si>
  <si>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连州市</t>
    </r>
  </si>
  <si>
    <t>4451</t>
  </si>
  <si>
    <t>潮州市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</si>
  <si>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饶平县</t>
    </r>
  </si>
  <si>
    <t>4452</t>
  </si>
  <si>
    <t>揭阳市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</si>
  <si>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揭西县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</si>
  <si>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惠来县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</si>
  <si>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普宁市</t>
    </r>
  </si>
  <si>
    <t>4453</t>
  </si>
  <si>
    <t>云浮市</t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</si>
  <si>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新兴县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</si>
  <si>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郁南县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</si>
  <si>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罗定市</t>
    </r>
  </si>
  <si>
    <t>注：
1.筛查费用：对项目地区20-70岁人群开展乙肝表面抗原、表面抗体、丙肝表面抗体筛查，20-70岁人口数和摸底乙肝表面抗原阳性人数根据2023年7月底开展的专项摸底调查数据；目标筛查人口数根据摸底人口数的70%测算（已扣减茂名化州试点完成筛查的10万人），并扣除已有乙肝筛查阳性结果人数，按照20元/人标准进行测算，包含检测试剂、耗材、人员和组织动员等费用。
2.疫苗接种费用：筛查发现的所有表面抗原、表面抗体均为阴性人员提供首针乙肝疫苗免费接种。其中，疫苗由企业捐赠，接种服务费由财政承担，具体接种服务费用按实际发生数在次年结算。根据2020年乙肝血清流调结果，人群中乙肝抗原抗体双阴比例约50%，结合佛山市均安镇试点中接种意愿60%估算接种人数，并按照非免疫规划疫苗接种服务标准21元/剂次进行初步测算接种服务费用。
3.随访费用：按茂名化州试点筛查中HBsAg阳性率9%估算本项目HBsAg阳性人数，并根据2020年血清流调结果乙肝感染者中40%为慢性乙肝患者估算需随访的慢性乙肝患者人数，按照10元/人标准测算随访费用。
4.工作经费：用于宣传（按照省疾控中心、省妇幼各60万元，每个市本级、县25万元测算）、会议培训（按照省疾控中心、省妇幼、南方医院、中山三院各20万元，每个县25万元测算）、督导评估、项目质控、组织专家论证、信息化系统改造等（按照省级168.61万元，每个县10万元测算）。</t>
  </si>
  <si>
    <t>工作经费分年度下达计划</t>
  </si>
  <si>
    <t>2024年</t>
  </si>
  <si>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</si>
  <si>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>2026</t>
    </r>
    <r>
      <rPr>
        <sz val="11"/>
        <rFont val="宋体"/>
        <charset val="134"/>
      </rPr>
      <t>年</t>
    </r>
  </si>
  <si>
    <t>省宣教中心</t>
  </si>
  <si>
    <t>估计筛查中新发现HBsAg阳性人数（人）</t>
  </si>
  <si>
    <t>筛查费用
（万元）</t>
  </si>
  <si>
    <t>工作经费
（万元）</t>
  </si>
  <si>
    <t>项目预算合计
（万元）</t>
  </si>
  <si>
    <t>其中省财政承担费用
（万元）</t>
  </si>
  <si>
    <t>G=（D+B)*40%慢乙肝比例*10元/人</t>
  </si>
  <si>
    <t>I=E+F+G+H</t>
  </si>
  <si>
    <t>3年合计</t>
  </si>
  <si>
    <t>2025年</t>
  </si>
  <si>
    <t>2026年</t>
  </si>
  <si>
    <t>注：
1.筛查费用：对项目地区20-70岁人群开展乙肝表面抗原、表面抗体、丙肝表面抗体筛查，20-70岁人口数和摸底乙肝表面抗原阳性人数根据2023年7月底开展的专项摸底调查数据；目标筛查人口数根据摸底人口数的70%测算（已扣减茂名化州试点完成筛查的10万人），并扣除已有乙肝筛查阳性结果人数，按照20元/人标准进行测算，包含检测试剂、耗材、样本运送、质量控制、人员和组织动员等费用。
2.疫苗接种费用：筛查发现的所有表面抗原、表面抗体均为阴性人员提供首针乙肝疫苗免费接种。其中，疫苗由企业捐赠，接种服务费由财政承担，具体接种服务费用按实际发生数在次年结算。根据2020年乙肝血清流调结果，人群中乙肝抗原抗体双阴比例约50%，结合佛山市均安镇试点中接种意愿60%估算接种人数，并按照非免疫规划疫苗接种服务标准21元/剂次进行初步测算接种服务费用。
3.随访费用：按茂名化州试点筛查中HBsAg阳性率9%估算本项目HBsAg阳性人数，并根据2020年血清流调结果乙肝感染者中40%为慢性乙肝患者估算需随访的慢性乙肝患者人数，按照10元/人标准测算随访费用。
4.工作经费：用于宣传、会议培训、督导评估、项目管理、专家咨询论证等。
5.省级财政承担筛查费用和省级工作经费，其余费用由市县级财政承担。</t>
  </si>
  <si>
    <t>区</t>
  </si>
  <si>
    <t xml:space="preserve">  浈江区</t>
  </si>
  <si>
    <t xml:space="preserve">  武江区</t>
  </si>
  <si>
    <t xml:space="preserve">  曲江区</t>
  </si>
  <si>
    <t xml:space="preserve">  金平区</t>
  </si>
  <si>
    <t xml:space="preserve">  龙湖区</t>
  </si>
  <si>
    <t xml:space="preserve">  澄海区</t>
  </si>
  <si>
    <t xml:space="preserve">  濠江区</t>
  </si>
  <si>
    <t xml:space="preserve">  潮阳区</t>
  </si>
  <si>
    <t xml:space="preserve">  潮南区</t>
  </si>
  <si>
    <t xml:space="preserve">  赤坎区</t>
  </si>
  <si>
    <t xml:space="preserve">  霞山区</t>
  </si>
  <si>
    <t xml:space="preserve">  坡头区</t>
  </si>
  <si>
    <t xml:space="preserve">  麻章区</t>
  </si>
  <si>
    <t xml:space="preserve">  茂南区</t>
  </si>
  <si>
    <t xml:space="preserve">  电白区</t>
  </si>
  <si>
    <t xml:space="preserve">  梅江区</t>
  </si>
  <si>
    <t xml:space="preserve">  梅县区</t>
  </si>
  <si>
    <t xml:space="preserve">  城区</t>
  </si>
  <si>
    <t xml:space="preserve">  源城区</t>
  </si>
  <si>
    <t xml:space="preserve">  江城区</t>
  </si>
  <si>
    <t xml:space="preserve">  阳东区</t>
  </si>
  <si>
    <t xml:space="preserve">  清城区</t>
  </si>
  <si>
    <t xml:space="preserve">  清新区</t>
  </si>
  <si>
    <t xml:space="preserve">  湘桥区</t>
  </si>
  <si>
    <t xml:space="preserve">  潮安区</t>
  </si>
  <si>
    <t xml:space="preserve">  榕城区</t>
  </si>
  <si>
    <t xml:space="preserve">  揭东区</t>
  </si>
  <si>
    <t xml:space="preserve">  云城区</t>
  </si>
  <si>
    <t xml:space="preserve">  云安区</t>
  </si>
  <si>
    <t>C=A*70%</t>
  </si>
  <si>
    <t>广东省病毒性肝炎早防早治项目工作经费测算（省本级）</t>
  </si>
  <si>
    <t>单位：万元</t>
  </si>
  <si>
    <t>项目名称</t>
  </si>
  <si>
    <t>项目单位</t>
  </si>
  <si>
    <t>项目内容</t>
  </si>
  <si>
    <r>
      <rPr>
        <b/>
        <sz val="10"/>
        <color rgb="FF000000"/>
        <rFont val="宋体"/>
        <charset val="134"/>
      </rPr>
      <t>预算金额</t>
    </r>
    <r>
      <rPr>
        <b/>
        <sz val="10"/>
        <color rgb="FF000000"/>
        <rFont val="Times New Roman"/>
        <charset val="134"/>
      </rPr>
      <t xml:space="preserve">
(</t>
    </r>
    <r>
      <rPr>
        <b/>
        <sz val="10"/>
        <color rgb="FF000000"/>
        <rFont val="宋体"/>
        <charset val="134"/>
      </rPr>
      <t>万元</t>
    </r>
    <r>
      <rPr>
        <b/>
        <sz val="10"/>
        <color rgb="FF000000"/>
        <rFont val="Times New Roman"/>
        <charset val="134"/>
      </rPr>
      <t>)</t>
    </r>
  </si>
  <si>
    <t>测算依据</t>
  </si>
  <si>
    <t>病毒性肝炎早防早治</t>
  </si>
  <si>
    <t>小计</t>
  </si>
  <si>
    <t>项目培训教材、幻灯制定</t>
  </si>
  <si>
    <r>
      <rPr>
        <sz val="10"/>
        <color rgb="FF000000"/>
        <rFont val="宋体"/>
        <charset val="134"/>
      </rPr>
      <t>1.培训大纲编制2万元：组织专家编制出规范的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个板块的培训大纲，按国家财政部关于专家咨询费的规定，现计划正高级专家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人，每人工作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天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版块（每个板块：第一天研究设计，第二天汇总讨论定稿），按正高级专家咨询费</t>
    </r>
    <r>
      <rPr>
        <sz val="10"/>
        <color rgb="FF000000"/>
        <rFont val="Times New Roman"/>
        <charset val="134"/>
      </rPr>
      <t>2500</t>
    </r>
    <r>
      <rPr>
        <sz val="10"/>
        <color rgb="FF000000"/>
        <rFont val="宋体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人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天（含税）测算。
2.培训课程录制6万元：按每个板块3个课程，每个课程有2位主讲专家，每个板块工作2天，主讲专家劳务费2500元/天（含税），专家视频课程录制涉及排练、多次分段录制等工作。
3.培训课程制作4万元：按4个板块，每个板块3个课程，每个版块视频制作费1万元测算。
4.线上培训平台搭建15万元：用于线上培训平台专题栏目设置、培训内容管理、考核、学员管理等。开设专栏（包括功能菜单、专题设置、课程设置、网页美化）20000元；项目期间持续性培训内容课件上传、管理维护费用30000元；考核设置、学员管理维护费用30000万元；平台功能使用费20000元；服务器存储、网络流量费用50000元。按照项目人员培训大纲，搭建线上培训平台系统，实现医共体医生的能力提升。开发人工费用2万/人月，按3人、2.5个月开发，团队共同合作开发共计60天开发时间计算。</t>
    </r>
  </si>
  <si>
    <t>教材制作与印制</t>
  </si>
  <si>
    <t>按照每本指南约150元计算，共印刷指南1200套，供1145个镇与57家县级综合医院使用。</t>
  </si>
  <si>
    <t>社区肝病管理人员培训</t>
  </si>
  <si>
    <r>
      <rPr>
        <sz val="10"/>
        <color rgb="FF000000"/>
        <rFont val="宋体"/>
        <charset val="134"/>
      </rPr>
      <t>诊疗技术培训75万元：负责组织医疗机构对25个县（市）肝病管理人员开展病毒性肝炎、肝硬化、肝癌等诊疗培训，每个县（市）培训6人次，每人进修活动一个月，按照</t>
    </r>
    <r>
      <rPr>
        <sz val="10"/>
        <color rgb="FF000000"/>
        <rFont val="Times New Roman"/>
        <charset val="134"/>
      </rPr>
      <t>5000</t>
    </r>
    <r>
      <rPr>
        <sz val="10"/>
        <color rgb="FF000000"/>
        <rFont val="宋体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人测算。</t>
    </r>
  </si>
  <si>
    <t>省级宣传资料制作、投放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</si>
  <si>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.媒体发布：项目期间，以深度文章在省级媒体专版发布，每次</t>
    </r>
    <r>
      <rPr>
        <sz val="10"/>
        <color rgb="FF000000"/>
        <rFont val="Times New Roman"/>
        <charset val="134"/>
      </rPr>
      <t>0.5</t>
    </r>
    <r>
      <rPr>
        <sz val="10"/>
        <color rgb="FF000000"/>
        <rFont val="宋体"/>
        <charset val="134"/>
      </rPr>
      <t>版面，共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版面，合计</t>
    </r>
    <r>
      <rPr>
        <sz val="10"/>
        <color rgb="FF000000"/>
        <rFont val="Times New Roman"/>
        <charset val="134"/>
      </rPr>
      <t>32</t>
    </r>
    <r>
      <rPr>
        <sz val="10"/>
        <color rgb="FF000000"/>
        <rFont val="宋体"/>
        <charset val="134"/>
      </rPr>
      <t>万元。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.访谈直播：组织临床医学、公共卫生等领域专家以线上访谈的形式进行肝炎早防早治宣传科普。项目期间举办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场，每场费用</t>
    </r>
    <r>
      <rPr>
        <sz val="10"/>
        <color rgb="FF000000"/>
        <rFont val="Times New Roman"/>
        <charset val="134"/>
      </rPr>
      <t>8</t>
    </r>
    <r>
      <rPr>
        <sz val="10"/>
        <color rgb="FF000000"/>
        <rFont val="宋体"/>
        <charset val="134"/>
      </rPr>
      <t>万元，合计</t>
    </r>
    <r>
      <rPr>
        <sz val="10"/>
        <color rgb="FF000000"/>
        <rFont val="Times New Roman"/>
        <charset val="134"/>
      </rPr>
      <t>32</t>
    </r>
    <r>
      <rPr>
        <sz val="10"/>
        <color rgb="FF000000"/>
        <rFont val="宋体"/>
        <charset val="134"/>
      </rPr>
      <t>万元。</t>
    </r>
    <r>
      <rPr>
        <sz val="10"/>
        <color rgb="FF000000"/>
        <rFont val="Times New Roman"/>
        <charset val="134"/>
      </rPr>
      <t xml:space="preserve">
3</t>
    </r>
    <r>
      <rPr>
        <sz val="10"/>
        <color rgb="FF000000"/>
        <rFont val="宋体"/>
        <charset val="134"/>
      </rPr>
      <t>.宣传产品：项目期间，制作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辑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分钟视频，总结项目取得的成效，每辑费用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万元，小计</t>
    </r>
    <r>
      <rPr>
        <sz val="10"/>
        <color rgb="FF000000"/>
        <rFont val="Times New Roman"/>
        <charset val="134"/>
      </rPr>
      <t>16</t>
    </r>
    <r>
      <rPr>
        <sz val="10"/>
        <color rgb="FF000000"/>
        <rFont val="宋体"/>
        <charset val="134"/>
      </rPr>
      <t>万元。制作平面宣传产品，如长图（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条，小计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万元）、文字信息流（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条，小计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万元），</t>
    </r>
    <r>
      <rPr>
        <sz val="10"/>
        <color rgb="FF000000"/>
        <rFont val="Times New Roman"/>
        <charset val="134"/>
      </rPr>
      <t>H5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次小计</t>
    </r>
    <r>
      <rPr>
        <sz val="10"/>
        <color rgb="FF000000"/>
        <rFont val="Times New Roman"/>
        <charset val="134"/>
      </rPr>
      <t>8</t>
    </r>
    <r>
      <rPr>
        <sz val="10"/>
        <color rgb="FF000000"/>
        <rFont val="宋体"/>
        <charset val="134"/>
      </rPr>
      <t>万元）。上述合计</t>
    </r>
    <r>
      <rPr>
        <sz val="10"/>
        <color rgb="FF000000"/>
        <rFont val="Times New Roman"/>
        <charset val="134"/>
      </rPr>
      <t>35</t>
    </r>
    <r>
      <rPr>
        <sz val="10"/>
        <color rgb="FF000000"/>
        <rFont val="宋体"/>
        <charset val="134"/>
      </rPr>
      <t>万元</t>
    </r>
    <r>
      <rPr>
        <sz val="10"/>
        <color rgb="FF000000"/>
        <rFont val="Times New Roman"/>
        <charset val="134"/>
      </rPr>
      <t xml:space="preserve">
4</t>
    </r>
    <r>
      <rPr>
        <sz val="10"/>
        <color rgb="FF000000"/>
        <rFont val="宋体"/>
        <charset val="134"/>
      </rPr>
      <t>.材料汇编：项目宣传材料汇编成册并打印归档，合计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万元。</t>
    </r>
  </si>
  <si>
    <t>病毒性肝炎早防早治项目筛查及质量控制培训</t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</si>
  <si>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宋体"/>
        <charset val="134"/>
      </rPr>
      <t>筛查技术培训费</t>
    </r>
    <r>
      <rPr>
        <sz val="10"/>
        <color rgb="FF000000"/>
        <rFont val="Times New Roman"/>
        <charset val="134"/>
      </rPr>
      <t>125</t>
    </r>
    <r>
      <rPr>
        <sz val="10"/>
        <color rgb="FF000000"/>
        <rFont val="宋体"/>
        <charset val="134"/>
      </rPr>
      <t>万元，用于在</t>
    </r>
    <r>
      <rPr>
        <sz val="10"/>
        <color rgb="FF000000"/>
        <rFont val="Times New Roman"/>
        <charset val="134"/>
      </rPr>
      <t>57</t>
    </r>
    <r>
      <rPr>
        <sz val="10"/>
        <color rgb="FF000000"/>
        <rFont val="宋体"/>
        <charset val="134"/>
      </rPr>
      <t>个县举办筛查、检测结果解读、随访、信息报告、转诊、健康教育等培训，每个县培训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名师资，每人每天</t>
    </r>
    <r>
      <rPr>
        <sz val="10"/>
        <color rgb="FF000000"/>
        <rFont val="Times New Roman"/>
        <charset val="134"/>
      </rPr>
      <t>550</t>
    </r>
    <r>
      <rPr>
        <sz val="10"/>
        <color rgb="FF000000"/>
        <rFont val="宋体"/>
        <charset val="134"/>
      </rPr>
      <t>元，培训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期，每期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天。培训对象主要为基层医疗机构医务人员。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宋体"/>
        <charset val="134"/>
      </rPr>
      <t>质量控制培训及研讨费：</t>
    </r>
    <r>
      <rPr>
        <sz val="10"/>
        <color rgb="FF000000"/>
        <rFont val="Times New Roman"/>
        <charset val="134"/>
      </rPr>
      <t>21</t>
    </r>
    <r>
      <rPr>
        <sz val="10"/>
        <color rgb="FF000000"/>
        <rFont val="宋体"/>
        <charset val="134"/>
      </rPr>
      <t>万元，拟用于举办质量控制、数据清洗和分析等培训；以及举办方案论证、项目技术评估和卫生经济学评估等研讨会。计划分片区举办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期，每期</t>
    </r>
    <r>
      <rPr>
        <sz val="10"/>
        <color rgb="FF000000"/>
        <rFont val="Times New Roman"/>
        <charset val="134"/>
      </rPr>
      <t>48</t>
    </r>
    <r>
      <rPr>
        <sz val="10"/>
        <color rgb="FF000000"/>
        <rFont val="宋体"/>
        <charset val="134"/>
      </rPr>
      <t>人，会期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天，按照550元/人天测算。</t>
    </r>
  </si>
  <si>
    <t>项目督导、质控</t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</si>
  <si>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宋体"/>
        <charset val="134"/>
      </rPr>
      <t>筛查现场调研指导差旅费和劳务补助</t>
    </r>
    <r>
      <rPr>
        <sz val="10"/>
        <color rgb="FF000000"/>
        <rFont val="Times New Roman"/>
        <charset val="134"/>
      </rPr>
      <t>35</t>
    </r>
    <r>
      <rPr>
        <sz val="10"/>
        <color rgb="FF000000"/>
        <rFont val="宋体"/>
        <charset val="134"/>
      </rPr>
      <t>万元：</t>
    </r>
    <r>
      <rPr>
        <sz val="10"/>
        <color rgb="FF000000"/>
        <rFont val="Times New Roman"/>
        <charset val="134"/>
      </rPr>
      <t>57</t>
    </r>
    <r>
      <rPr>
        <sz val="10"/>
        <color rgb="FF000000"/>
        <rFont val="宋体"/>
        <charset val="134"/>
      </rPr>
      <t>个县，每个县安排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位专家，每人每天</t>
    </r>
    <r>
      <rPr>
        <sz val="10"/>
        <color rgb="FF000000"/>
        <rFont val="Times New Roman"/>
        <charset val="134"/>
      </rPr>
      <t>550</t>
    </r>
    <r>
      <rPr>
        <sz val="10"/>
        <color rgb="FF000000"/>
        <rFont val="宋体"/>
        <charset val="134"/>
      </rPr>
      <t>元食宿补助，每个县合计安排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天（分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次），专家劳务补助</t>
    </r>
    <r>
      <rPr>
        <sz val="10"/>
        <color rgb="FF000000"/>
        <rFont val="Times New Roman"/>
        <charset val="134"/>
      </rPr>
      <t>500</t>
    </r>
    <r>
      <rPr>
        <sz val="10"/>
        <color rgb="FF000000"/>
        <rFont val="宋体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天。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宋体"/>
        <charset val="134"/>
      </rPr>
      <t>材料费</t>
    </r>
    <r>
      <rPr>
        <sz val="10"/>
        <color rgb="FF000000"/>
        <rFont val="Times New Roman"/>
        <charset val="134"/>
      </rPr>
      <t>8</t>
    </r>
    <r>
      <rPr>
        <sz val="10"/>
        <color rgb="FF000000"/>
        <rFont val="宋体"/>
        <charset val="134"/>
      </rPr>
      <t>万元：包括书籍文献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万（方案编制所需书籍、文献等）；方案及问卷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万（</t>
    </r>
    <r>
      <rPr>
        <sz val="10"/>
        <color rgb="FF000000"/>
        <rFont val="Times New Roman"/>
        <charset val="134"/>
      </rPr>
      <t>35</t>
    </r>
    <r>
      <rPr>
        <sz val="10"/>
        <color rgb="FF000000"/>
        <rFont val="宋体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份</t>
    </r>
    <r>
      <rPr>
        <sz val="10"/>
        <color rgb="FF000000"/>
        <rFont val="Times New Roman"/>
        <charset val="134"/>
      </rPr>
      <t>×10</t>
    </r>
    <r>
      <rPr>
        <sz val="10"/>
        <color rgb="FF000000"/>
        <rFont val="宋体"/>
        <charset val="134"/>
      </rPr>
      <t>份</t>
    </r>
    <r>
      <rPr>
        <sz val="10"/>
        <color rgb="FF000000"/>
        <rFont val="Times New Roman"/>
        <charset val="134"/>
      </rPr>
      <t>×57</t>
    </r>
    <r>
      <rPr>
        <sz val="10"/>
        <color rgb="FF000000"/>
        <rFont val="宋体"/>
        <charset val="134"/>
      </rPr>
      <t>县）；技术培训材料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万（</t>
    </r>
    <r>
      <rPr>
        <sz val="10"/>
        <color rgb="FF000000"/>
        <rFont val="Times New Roman"/>
        <charset val="134"/>
      </rPr>
      <t>35</t>
    </r>
    <r>
      <rPr>
        <sz val="10"/>
        <color rgb="FF000000"/>
        <rFont val="宋体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份</t>
    </r>
    <r>
      <rPr>
        <sz val="10"/>
        <color rgb="FF000000"/>
        <rFont val="Times New Roman"/>
        <charset val="134"/>
      </rPr>
      <t>×10</t>
    </r>
    <r>
      <rPr>
        <sz val="10"/>
        <color rgb="FF000000"/>
        <rFont val="宋体"/>
        <charset val="134"/>
      </rPr>
      <t>份</t>
    </r>
    <r>
      <rPr>
        <sz val="10"/>
        <color rgb="FF000000"/>
        <rFont val="Times New Roman"/>
        <charset val="134"/>
      </rPr>
      <t>×57</t>
    </r>
    <r>
      <rPr>
        <sz val="10"/>
        <color rgb="FF000000"/>
        <rFont val="宋体"/>
        <charset val="134"/>
      </rPr>
      <t>县）；中期、总结报告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万（</t>
    </r>
    <r>
      <rPr>
        <sz val="10"/>
        <color rgb="FF000000"/>
        <rFont val="Times New Roman"/>
        <charset val="134"/>
      </rPr>
      <t>35</t>
    </r>
    <r>
      <rPr>
        <sz val="10"/>
        <color rgb="FF000000"/>
        <rFont val="宋体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份</t>
    </r>
    <r>
      <rPr>
        <sz val="10"/>
        <color rgb="FF000000"/>
        <rFont val="Times New Roman"/>
        <charset val="134"/>
      </rPr>
      <t>×10</t>
    </r>
    <r>
      <rPr>
        <sz val="10"/>
        <color rgb="FF000000"/>
        <rFont val="宋体"/>
        <charset val="134"/>
      </rPr>
      <t>份</t>
    </r>
    <r>
      <rPr>
        <sz val="10"/>
        <color rgb="FF000000"/>
        <rFont val="Times New Roman"/>
        <charset val="134"/>
      </rPr>
      <t>×57</t>
    </r>
    <r>
      <rPr>
        <sz val="10"/>
        <color rgb="FF000000"/>
        <rFont val="宋体"/>
        <charset val="134"/>
      </rPr>
      <t>县）；其他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万（材料寄送或项目开展所需其他材料费）</t>
    </r>
  </si>
  <si>
    <t>项目评估</t>
  </si>
  <si>
    <t>1.现场调研评估9万：550元/人天×3人×1天×57县=9万元；
2.参加省内培训或学术会议11万：（2800元/人次×4人×10次）= 11万元。
3.研究生和项目人员补助43万：包括研究生质控和分析补助18万（0.013元/份×13638395份=18万元）、项目人员数据质控和分析补助25万（0.018元/份×13638395份=25万元）；
4.专家咨询/劳务费7万：方案编制、报告审查、筛查技术指导、数据质控及分析、评估报告撰写等专家咨询费/劳务费，按照800元/次×30人次×3年=7万元测算。</t>
  </si>
  <si>
    <t>印制宣传海报、折页</t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</si>
  <si>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宋体"/>
        <charset val="134"/>
      </rPr>
      <t>印制宣传海报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万元：分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年共印制宣传海报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万份，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份（含配送费用）。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宋体"/>
        <charset val="134"/>
      </rPr>
      <t>印制宣传折页</t>
    </r>
    <r>
      <rPr>
        <sz val="10"/>
        <color rgb="FF000000"/>
        <rFont val="Times New Roman"/>
        <charset val="134"/>
      </rPr>
      <t>40</t>
    </r>
    <r>
      <rPr>
        <sz val="10"/>
        <color rgb="FF000000"/>
        <rFont val="宋体"/>
        <charset val="134"/>
      </rPr>
      <t>万册：分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年印制宣传小折页</t>
    </r>
    <r>
      <rPr>
        <sz val="10"/>
        <color rgb="FF000000"/>
        <rFont val="Times New Roman"/>
        <charset val="134"/>
      </rPr>
      <t>40</t>
    </r>
    <r>
      <rPr>
        <sz val="10"/>
        <color rgb="FF000000"/>
        <rFont val="宋体"/>
        <charset val="134"/>
      </rPr>
      <t>万册，</t>
    </r>
    <r>
      <rPr>
        <sz val="10"/>
        <color rgb="FF000000"/>
        <rFont val="Times New Roman"/>
        <charset val="134"/>
      </rPr>
      <t>0.25</t>
    </r>
    <r>
      <rPr>
        <sz val="10"/>
        <color rgb="FF000000"/>
        <rFont val="宋体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册（含配送费用）。</t>
    </r>
  </si>
  <si>
    <t>消除乙肝母婴传播宣传</t>
  </si>
  <si>
    <t>宣传费用30万元：采用宣传册、微信推文推广、宣传片等方式宣传。</t>
  </si>
  <si>
    <t>消除乙肝母婴传播培训</t>
  </si>
  <si>
    <r>
      <rPr>
        <sz val="10"/>
        <color rgb="FF000000"/>
        <rFont val="宋体"/>
        <charset val="134"/>
      </rPr>
      <t>培训费用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宋体"/>
        <charset val="134"/>
      </rPr>
      <t>万元：用于在</t>
    </r>
    <r>
      <rPr>
        <sz val="10"/>
        <color rgb="FF000000"/>
        <rFont val="Times New Roman"/>
        <charset val="134"/>
      </rPr>
      <t>57</t>
    </r>
    <r>
      <rPr>
        <sz val="10"/>
        <color rgb="FF000000"/>
        <rFont val="宋体"/>
        <charset val="134"/>
      </rPr>
      <t>个县举办消除乙肝母婴传播培训，提升医护人员的能力和孕产夫妇的健康意识，早筛早治、阻断母婴传播。每人每天</t>
    </r>
    <r>
      <rPr>
        <sz val="10"/>
        <color rgb="FF000000"/>
        <rFont val="Times New Roman"/>
        <charset val="134"/>
      </rPr>
      <t>550</t>
    </r>
    <r>
      <rPr>
        <sz val="10"/>
        <color rgb="FF000000"/>
        <rFont val="宋体"/>
        <charset val="134"/>
      </rPr>
      <t>元，预计培训每年</t>
    </r>
    <r>
      <rPr>
        <sz val="10"/>
        <color rgb="FF000000"/>
        <rFont val="Times New Roman"/>
        <charset val="134"/>
      </rPr>
      <t>120</t>
    </r>
    <r>
      <rPr>
        <sz val="10"/>
        <color rgb="FF000000"/>
        <rFont val="宋体"/>
        <charset val="134"/>
      </rPr>
      <t>人，每年培训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期，每期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天。</t>
    </r>
  </si>
  <si>
    <t>消除乙肝母婴传播工作评估</t>
  </si>
  <si>
    <r>
      <rPr>
        <sz val="10"/>
        <color rgb="FF000000"/>
        <rFont val="宋体"/>
        <charset val="134"/>
      </rPr>
      <t>现场评估指导差旅费和劳务补助</t>
    </r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万元：</t>
    </r>
    <r>
      <rPr>
        <sz val="10"/>
        <color rgb="FF000000"/>
        <rFont val="Times New Roman"/>
        <charset val="134"/>
      </rPr>
      <t>57</t>
    </r>
    <r>
      <rPr>
        <sz val="10"/>
        <color rgb="FF000000"/>
        <rFont val="宋体"/>
        <charset val="134"/>
      </rPr>
      <t>个县，每个县安排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位专家，每人每天</t>
    </r>
    <r>
      <rPr>
        <sz val="10"/>
        <color rgb="FF000000"/>
        <rFont val="Times New Roman"/>
        <charset val="134"/>
      </rPr>
      <t>550</t>
    </r>
    <r>
      <rPr>
        <sz val="10"/>
        <color rgb="FF000000"/>
        <rFont val="宋体"/>
        <charset val="134"/>
      </rPr>
      <t>元食宿补助，每个县合计安排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天，专家劳务补助</t>
    </r>
    <r>
      <rPr>
        <sz val="10"/>
        <color rgb="FF000000"/>
        <rFont val="Times New Roman"/>
        <charset val="134"/>
      </rPr>
      <t>500</t>
    </r>
    <r>
      <rPr>
        <sz val="10"/>
        <color rgb="FF000000"/>
        <rFont val="宋体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天。</t>
    </r>
  </si>
  <si>
    <r>
      <rPr>
        <sz val="10"/>
        <color rgb="FF000000"/>
        <rFont val="宋体"/>
        <charset val="134"/>
      </rPr>
      <t>诊疗技术培训48万元：分片区负责对</t>
    </r>
    <r>
      <rPr>
        <sz val="10"/>
        <color rgb="FF000000"/>
        <rFont val="Times New Roman"/>
        <charset val="134"/>
      </rPr>
      <t>16</t>
    </r>
    <r>
      <rPr>
        <sz val="10"/>
        <color rgb="FF000000"/>
        <rFont val="宋体"/>
        <charset val="134"/>
      </rPr>
      <t>个县（市）肝病管理人员开展病毒性肝炎、肝硬化、肝癌等诊疗培训，每个县（市）培训6人次，每人进修活动一个月，按照</t>
    </r>
    <r>
      <rPr>
        <sz val="10"/>
        <color rgb="FF000000"/>
        <rFont val="Times New Roman"/>
        <charset val="134"/>
      </rPr>
      <t>5000</t>
    </r>
    <r>
      <rPr>
        <sz val="10"/>
        <color rgb="FF000000"/>
        <rFont val="宋体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人测算。</t>
    </r>
  </si>
  <si>
    <t>肝病社区管理和肝病学术交流会议</t>
  </si>
  <si>
    <r>
      <rPr>
        <sz val="10"/>
        <color rgb="FF000000"/>
        <rFont val="宋体"/>
        <charset val="134"/>
      </rPr>
      <t>对负责片区社区管理人员、专家和工作人员召开学术交流研讨会议，参会规模计划4</t>
    </r>
    <r>
      <rPr>
        <sz val="10"/>
        <color rgb="FF000000"/>
        <rFont val="Times New Roman"/>
        <charset val="134"/>
      </rPr>
      <t>0</t>
    </r>
    <r>
      <rPr>
        <sz val="10"/>
        <color rgb="FF000000"/>
        <rFont val="宋体"/>
        <charset val="134"/>
      </rPr>
      <t>人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场，会期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天，按照500元/人日标准测算。</t>
    </r>
  </si>
  <si>
    <t>附件2</t>
  </si>
  <si>
    <t>病毒性肝炎早防早治项目资金分配表</t>
  </si>
  <si>
    <t>2024年预算金额</t>
  </si>
  <si>
    <t>广州市第八人民医院</t>
  </si>
  <si>
    <t>深圳市第三人民医院</t>
  </si>
  <si>
    <t>累计接种人数（20-70岁）</t>
  </si>
  <si>
    <t>非珠57县</t>
  </si>
  <si>
    <t>非珠</t>
  </si>
  <si>
    <t>地市</t>
  </si>
  <si>
    <t>仅完成一剂</t>
  </si>
  <si>
    <t>仅完成二剂</t>
  </si>
  <si>
    <t>仅完成三剂</t>
  </si>
  <si>
    <t>完成四剂</t>
  </si>
  <si>
    <t>县区</t>
  </si>
  <si>
    <t>七普</t>
  </si>
  <si>
    <t>七普-接种</t>
  </si>
  <si>
    <t>农村地区</t>
  </si>
  <si>
    <t>非珠三角</t>
  </si>
  <si>
    <t>广州市</t>
  </si>
  <si>
    <t>荔湾区</t>
  </si>
  <si>
    <t>越秀区</t>
  </si>
  <si>
    <t>深圳市</t>
  </si>
  <si>
    <t>海珠区</t>
  </si>
  <si>
    <t>珠海市</t>
  </si>
  <si>
    <t>天河区</t>
  </si>
  <si>
    <t>南方医科大学南方医院</t>
  </si>
  <si>
    <t>白云区</t>
  </si>
  <si>
    <t>佛山市</t>
  </si>
  <si>
    <t>黄埔区</t>
  </si>
  <si>
    <t>番禺区</t>
  </si>
  <si>
    <t>花都区</t>
  </si>
  <si>
    <t>始兴县</t>
  </si>
  <si>
    <t>南沙区</t>
  </si>
  <si>
    <t>仁化县</t>
  </si>
  <si>
    <t>增城区</t>
  </si>
  <si>
    <t>翁源县</t>
  </si>
  <si>
    <t>从化区</t>
  </si>
  <si>
    <t>乳源瑶族自治县</t>
  </si>
  <si>
    <t>武江区</t>
  </si>
  <si>
    <t>新丰县</t>
  </si>
  <si>
    <t>浈江区</t>
  </si>
  <si>
    <t>乐昌市</t>
  </si>
  <si>
    <t>曲江区</t>
  </si>
  <si>
    <t>南雄市</t>
  </si>
  <si>
    <t>东莞市</t>
  </si>
  <si>
    <t>南澳县</t>
  </si>
  <si>
    <t>中山市</t>
  </si>
  <si>
    <t>台山市</t>
  </si>
  <si>
    <t>开平市</t>
  </si>
  <si>
    <t>罗湖区</t>
  </si>
  <si>
    <t>鹤山市</t>
  </si>
  <si>
    <t>福田区</t>
  </si>
  <si>
    <t>恩平市</t>
  </si>
  <si>
    <t>南山区</t>
  </si>
  <si>
    <t>宝安区</t>
  </si>
  <si>
    <t>龙岗区</t>
  </si>
  <si>
    <t>遂溪县</t>
  </si>
  <si>
    <t>盐田区</t>
  </si>
  <si>
    <t>徐闻县</t>
  </si>
  <si>
    <t>龙华区</t>
  </si>
  <si>
    <t>廉江市</t>
  </si>
  <si>
    <t>坪山区</t>
  </si>
  <si>
    <t>雷州市</t>
  </si>
  <si>
    <t>光明区</t>
  </si>
  <si>
    <t>吴川市</t>
  </si>
  <si>
    <t>大鹏新区</t>
  </si>
  <si>
    <t>香洲区</t>
  </si>
  <si>
    <t>斗门区</t>
  </si>
  <si>
    <t>高州市</t>
  </si>
  <si>
    <t>金湾区</t>
  </si>
  <si>
    <t>化州市</t>
  </si>
  <si>
    <t>龙湖区</t>
  </si>
  <si>
    <t>信宜市</t>
  </si>
  <si>
    <t>金平区</t>
  </si>
  <si>
    <t>濠江区</t>
  </si>
  <si>
    <t>潮阳区</t>
  </si>
  <si>
    <t>广宁县</t>
  </si>
  <si>
    <t>潮南区</t>
  </si>
  <si>
    <t>怀集县</t>
  </si>
  <si>
    <t>澄海区</t>
  </si>
  <si>
    <t>封开县</t>
  </si>
  <si>
    <t>德庆县</t>
  </si>
  <si>
    <t>汕尾城区</t>
  </si>
  <si>
    <t>四会市</t>
  </si>
  <si>
    <t>海丰县</t>
  </si>
  <si>
    <t>陆河县</t>
  </si>
  <si>
    <t>陆丰市</t>
  </si>
  <si>
    <t>博罗县</t>
  </si>
  <si>
    <t>清城区</t>
  </si>
  <si>
    <t>惠东县</t>
  </si>
  <si>
    <t>佛冈县</t>
  </si>
  <si>
    <t>龙门县</t>
  </si>
  <si>
    <t>阳山县</t>
  </si>
  <si>
    <t>连山壮族瑶族自治县</t>
  </si>
  <si>
    <t>连南瑶族自治县</t>
  </si>
  <si>
    <t>大埔县</t>
  </si>
  <si>
    <t>清新区</t>
  </si>
  <si>
    <t>丰顺县</t>
  </si>
  <si>
    <t>英德市</t>
  </si>
  <si>
    <t>五华县</t>
  </si>
  <si>
    <t>连州市</t>
  </si>
  <si>
    <t>平远县</t>
  </si>
  <si>
    <t>江城区</t>
  </si>
  <si>
    <t>蕉岭县</t>
  </si>
  <si>
    <t>阳西县</t>
  </si>
  <si>
    <t>兴宁市</t>
  </si>
  <si>
    <t>阳东区</t>
  </si>
  <si>
    <t>阳春市</t>
  </si>
  <si>
    <t>云城区</t>
  </si>
  <si>
    <t>新兴县</t>
  </si>
  <si>
    <t>郁南县</t>
  </si>
  <si>
    <t>云安区</t>
  </si>
  <si>
    <t>罗定市</t>
  </si>
  <si>
    <t>赤坎区</t>
  </si>
  <si>
    <t>紫金县</t>
  </si>
  <si>
    <t>霞山区</t>
  </si>
  <si>
    <t>龙川县</t>
  </si>
  <si>
    <t>坡头区</t>
  </si>
  <si>
    <t>连平县</t>
  </si>
  <si>
    <t>麻章区</t>
  </si>
  <si>
    <t>和平县</t>
  </si>
  <si>
    <t>东源县</t>
  </si>
  <si>
    <t>梅江区</t>
  </si>
  <si>
    <t>梅县区</t>
  </si>
  <si>
    <t>茂南区</t>
  </si>
  <si>
    <t>电白区</t>
  </si>
  <si>
    <t>饶平县</t>
  </si>
  <si>
    <t>榕城区</t>
  </si>
  <si>
    <t>揭西县</t>
  </si>
  <si>
    <t>揭东区</t>
  </si>
  <si>
    <t>惠来县</t>
  </si>
  <si>
    <t>普宁市</t>
  </si>
  <si>
    <t>蓬江区</t>
  </si>
  <si>
    <t>江海区</t>
  </si>
  <si>
    <t>新会区</t>
  </si>
  <si>
    <t>惠城区</t>
  </si>
  <si>
    <t>惠阳区</t>
  </si>
  <si>
    <t>大亚湾区</t>
  </si>
  <si>
    <t>仲恺区</t>
  </si>
  <si>
    <t>源城区</t>
  </si>
  <si>
    <t>江东新区</t>
  </si>
  <si>
    <t>禅城区</t>
  </si>
  <si>
    <t>南海区</t>
  </si>
  <si>
    <t>顺德区</t>
  </si>
  <si>
    <t>三水区</t>
  </si>
  <si>
    <t>高明区</t>
  </si>
  <si>
    <t>端州区</t>
  </si>
  <si>
    <t>鼎湖区</t>
  </si>
  <si>
    <t>高要区</t>
  </si>
  <si>
    <t>湘桥区</t>
  </si>
  <si>
    <t>潮安区</t>
  </si>
  <si>
    <t>枫溪区</t>
  </si>
  <si>
    <t>石岐区</t>
  </si>
  <si>
    <t>东区</t>
  </si>
  <si>
    <t>西区</t>
  </si>
  <si>
    <t>南区</t>
  </si>
  <si>
    <t>火炬高技术产业开发区</t>
  </si>
  <si>
    <t>黄圃镇</t>
  </si>
  <si>
    <t>阜沙镇</t>
  </si>
  <si>
    <t>南头镇</t>
  </si>
  <si>
    <t>东凤镇</t>
  </si>
  <si>
    <t>小榄镇</t>
  </si>
  <si>
    <t>古镇</t>
  </si>
  <si>
    <t>东升镇</t>
  </si>
  <si>
    <t>沙溪镇</t>
  </si>
  <si>
    <t>大涌镇</t>
  </si>
  <si>
    <t>横栏镇</t>
  </si>
  <si>
    <t>港口镇</t>
  </si>
  <si>
    <t>板芙镇</t>
  </si>
  <si>
    <t>神湾镇</t>
  </si>
  <si>
    <t>三乡镇</t>
  </si>
  <si>
    <t>坦洲镇</t>
  </si>
  <si>
    <t>南朗镇</t>
  </si>
  <si>
    <t>民众镇</t>
  </si>
  <si>
    <t>三角镇</t>
  </si>
  <si>
    <t>五桂山</t>
  </si>
  <si>
    <t>常 平</t>
  </si>
  <si>
    <t>横 沥</t>
  </si>
  <si>
    <t>东 坑</t>
  </si>
  <si>
    <t>桥 头</t>
  </si>
  <si>
    <t>厚 街</t>
  </si>
  <si>
    <t>沙 田</t>
  </si>
  <si>
    <t>长 安</t>
  </si>
  <si>
    <t>南 城</t>
  </si>
  <si>
    <t>万 江</t>
  </si>
  <si>
    <t>中 堂</t>
  </si>
  <si>
    <t>道 滘</t>
  </si>
  <si>
    <t>望牛墩</t>
  </si>
  <si>
    <t>麻 涌</t>
  </si>
  <si>
    <t>寮 步</t>
  </si>
  <si>
    <t>大 朗</t>
  </si>
  <si>
    <t>黄 江</t>
  </si>
  <si>
    <t>大岭山</t>
  </si>
  <si>
    <t>东 城</t>
  </si>
  <si>
    <t>茶 山</t>
  </si>
  <si>
    <t>企 石</t>
  </si>
  <si>
    <t>石 排</t>
  </si>
  <si>
    <t>石 碣</t>
  </si>
  <si>
    <t>高 埗</t>
  </si>
  <si>
    <t>樟木头</t>
  </si>
  <si>
    <t>清 溪</t>
  </si>
  <si>
    <t>塘 厦</t>
  </si>
  <si>
    <t>凤 岗</t>
  </si>
  <si>
    <t>谢 岗</t>
  </si>
  <si>
    <t>莞 城</t>
  </si>
  <si>
    <t>虎 门</t>
  </si>
  <si>
    <t>石 龙</t>
  </si>
  <si>
    <t>洪 梅</t>
  </si>
  <si>
    <t>松山湖</t>
  </si>
  <si>
    <t>20-70</t>
  </si>
  <si>
    <t>_全部</t>
  </si>
  <si>
    <t>440103</t>
  </si>
  <si>
    <t>440104</t>
  </si>
  <si>
    <t>440105</t>
  </si>
  <si>
    <t>440106</t>
  </si>
  <si>
    <t>440111</t>
  </si>
  <si>
    <t>440112</t>
  </si>
  <si>
    <t>440113</t>
  </si>
  <si>
    <t>440114</t>
  </si>
  <si>
    <t>440115</t>
  </si>
  <si>
    <t>440117</t>
  </si>
  <si>
    <t>440118</t>
  </si>
  <si>
    <t>440203</t>
  </si>
  <si>
    <t>440204</t>
  </si>
  <si>
    <t>440205</t>
  </si>
  <si>
    <t>440222</t>
  </si>
  <si>
    <t>440224</t>
  </si>
  <si>
    <t>440229</t>
  </si>
  <si>
    <t>440232</t>
  </si>
  <si>
    <t>440233</t>
  </si>
  <si>
    <t>440281</t>
  </si>
  <si>
    <t>440282</t>
  </si>
  <si>
    <t>440303</t>
  </si>
  <si>
    <t>440304</t>
  </si>
  <si>
    <t>440305</t>
  </si>
  <si>
    <t>440306</t>
  </si>
  <si>
    <t>440307</t>
  </si>
  <si>
    <t>440308</t>
  </si>
  <si>
    <t>440309</t>
  </si>
  <si>
    <t>440310</t>
  </si>
  <si>
    <t>440311</t>
  </si>
  <si>
    <t>440402</t>
  </si>
  <si>
    <t>440403</t>
  </si>
  <si>
    <t>440404</t>
  </si>
  <si>
    <t>440507</t>
  </si>
  <si>
    <t>440511</t>
  </si>
  <si>
    <t>440512</t>
  </si>
  <si>
    <t>440513</t>
  </si>
  <si>
    <t>440514</t>
  </si>
  <si>
    <t>440515</t>
  </si>
  <si>
    <t>440523</t>
  </si>
  <si>
    <t>440604</t>
  </si>
  <si>
    <t>440605</t>
  </si>
  <si>
    <t>440606</t>
  </si>
  <si>
    <t>440607</t>
  </si>
  <si>
    <t>440608</t>
  </si>
  <si>
    <t>440703</t>
  </si>
  <si>
    <t>440704</t>
  </si>
  <si>
    <t>440705</t>
  </si>
  <si>
    <t>440781</t>
  </si>
  <si>
    <t>440783</t>
  </si>
  <si>
    <t>440784</t>
  </si>
  <si>
    <t>440785</t>
  </si>
  <si>
    <t>440802</t>
  </si>
  <si>
    <t>440803</t>
  </si>
  <si>
    <t>440804</t>
  </si>
  <si>
    <t>440811</t>
  </si>
  <si>
    <t>440823</t>
  </si>
  <si>
    <t>440825</t>
  </si>
  <si>
    <t>440881</t>
  </si>
  <si>
    <t>440882</t>
  </si>
  <si>
    <t>440883</t>
  </si>
  <si>
    <t>440902</t>
  </si>
  <si>
    <t>440904</t>
  </si>
  <si>
    <t>440981</t>
  </si>
  <si>
    <t>440982</t>
  </si>
  <si>
    <t>440983</t>
  </si>
  <si>
    <t>441202</t>
  </si>
  <si>
    <t>441203</t>
  </si>
  <si>
    <t>441204</t>
  </si>
  <si>
    <t>441223</t>
  </si>
  <si>
    <t>441224</t>
  </si>
  <si>
    <t>441225</t>
  </si>
  <si>
    <t>441226</t>
  </si>
  <si>
    <t>441284</t>
  </si>
  <si>
    <t>441302</t>
  </si>
  <si>
    <t>441303</t>
  </si>
  <si>
    <t>441322</t>
  </si>
  <si>
    <t>441323</t>
  </si>
  <si>
    <t>441324</t>
  </si>
  <si>
    <t>441402</t>
  </si>
  <si>
    <t>441403</t>
  </si>
  <si>
    <t>441422</t>
  </si>
  <si>
    <t>441423</t>
  </si>
  <si>
    <t>441424</t>
  </si>
  <si>
    <t>441426</t>
  </si>
  <si>
    <t>441427</t>
  </si>
  <si>
    <t>441481</t>
  </si>
  <si>
    <t>城区</t>
  </si>
  <si>
    <t>441502</t>
  </si>
  <si>
    <t>441521</t>
  </si>
  <si>
    <t>441523</t>
  </si>
  <si>
    <t>441581</t>
  </si>
  <si>
    <t>441602</t>
  </si>
  <si>
    <t>441621</t>
  </si>
  <si>
    <t>441622</t>
  </si>
  <si>
    <t>441623</t>
  </si>
  <si>
    <t>441624</t>
  </si>
  <si>
    <t>441625</t>
  </si>
  <si>
    <t>441702</t>
  </si>
  <si>
    <t>441704</t>
  </si>
  <si>
    <t>441721</t>
  </si>
  <si>
    <t>441781</t>
  </si>
  <si>
    <t>441802</t>
  </si>
  <si>
    <t>441803</t>
  </si>
  <si>
    <t>441821</t>
  </si>
  <si>
    <t>441823</t>
  </si>
  <si>
    <t>441825</t>
  </si>
  <si>
    <t>441826</t>
  </si>
  <si>
    <t>441881</t>
  </si>
  <si>
    <t>441882</t>
  </si>
  <si>
    <t>市辖区</t>
  </si>
  <si>
    <t>441901</t>
  </si>
  <si>
    <t>442001</t>
  </si>
  <si>
    <t>445102</t>
  </si>
  <si>
    <t>445103</t>
  </si>
  <si>
    <t>445122</t>
  </si>
  <si>
    <t>445202</t>
  </si>
  <si>
    <t>445203</t>
  </si>
  <si>
    <t>445222</t>
  </si>
  <si>
    <t>445224</t>
  </si>
  <si>
    <t>445281</t>
  </si>
  <si>
    <t>445302</t>
  </si>
  <si>
    <t>445303</t>
  </si>
  <si>
    <t>445321</t>
  </si>
  <si>
    <t>445322</t>
  </si>
  <si>
    <t>445381</t>
  </si>
  <si>
    <t>广东省病毒性肝炎早防早治项目2024年经费测算</t>
  </si>
  <si>
    <t>筛查费用</t>
  </si>
  <si>
    <r>
      <rPr>
        <sz val="11"/>
        <color theme="1"/>
        <rFont val="黑体"/>
        <charset val="134"/>
      </rPr>
      <t>省财政承担费用合计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（万元）</t>
    </r>
  </si>
  <si>
    <t>2024年筛查任务数（人）</t>
  </si>
  <si>
    <t>2024年筛查费用
（万元）</t>
  </si>
  <si>
    <t>省财政补助筛查费用
（万元）</t>
  </si>
  <si>
    <t>2024年宣传费用
（万元）</t>
  </si>
  <si>
    <t>信息化接口费用
（万元）</t>
  </si>
  <si>
    <t>C=（A-B/0.7)*10%</t>
  </si>
  <si>
    <t>D=C*20元/人</t>
  </si>
  <si>
    <t>E</t>
  </si>
  <si>
    <t>F=D*E</t>
  </si>
  <si>
    <t>H=F+G</t>
  </si>
  <si>
    <t>注：
1.筛查费用：对20-70岁人口10%筛查率开展乙肝表面抗原、表面抗体和丙肝表面抗体筛查，按照20元/人标准进行测算，含检测试剂、耗材、人员和组织动员等费用。
2.工作经费：用于宣传（按照省疾控中心、省妇幼各30万元，每个市本级16万元，每个县15万元安排）、会议培训（按照省疾控中心、省妇幼、南方医院、中山三院各10万元，每个县15万元安排）、督导评估、项目质控、组织专家论证、信息化系统改造等（按照省级104.61万，每个县7万元安排）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</si>
</sst>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4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1"/>
      <name val="Times New Roman"/>
      <charset val="0"/>
    </font>
    <font>
      <sz val="16"/>
      <color theme="1"/>
      <name val="Times New Roman"/>
      <charset val="134"/>
    </font>
    <font>
      <sz val="10"/>
      <name val="Arial"/>
      <charset val="0"/>
    </font>
    <font>
      <sz val="10"/>
      <name val="宋体"/>
      <charset val="0"/>
    </font>
    <font>
      <sz val="12"/>
      <name val="宋体"/>
      <charset val="134"/>
    </font>
    <font>
      <sz val="11"/>
      <color theme="1"/>
      <name val="Times New Roman"/>
      <charset val="0"/>
    </font>
    <font>
      <b/>
      <sz val="14"/>
      <name val="宋体"/>
      <charset val="134"/>
    </font>
    <font>
      <sz val="10"/>
      <name val="宋体"/>
      <charset val="134"/>
    </font>
    <font>
      <sz val="10"/>
      <color theme="1"/>
      <name val="黑体"/>
      <charset val="134"/>
    </font>
    <font>
      <sz val="11"/>
      <name val="宋体"/>
      <charset val="134"/>
    </font>
    <font>
      <sz val="14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0"/>
      <color rgb="FF000000"/>
      <name val="Times New Roma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rgb="FFFF0000"/>
      <name val="Times New Roman"/>
      <charset val="0"/>
    </font>
    <font>
      <sz val="11"/>
      <name val="黑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0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7" fillId="6" borderId="13" applyNumberFormat="0" applyAlignment="0" applyProtection="0">
      <alignment vertical="center"/>
    </xf>
    <xf numFmtId="0" fontId="45" fillId="24" borderId="17" applyNumberForma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0" borderId="0"/>
  </cellStyleXfs>
  <cellXfs count="14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9" fontId="1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Fill="1" applyBorder="1" applyAlignment="1" applyProtection="1"/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0" fillId="3" borderId="0" xfId="0" applyFont="1" applyFill="1" applyBorder="1" applyAlignment="1" applyProtection="1"/>
    <xf numFmtId="0" fontId="11" fillId="3" borderId="0" xfId="0" applyFont="1" applyFill="1" applyBorder="1" applyAlignment="1" applyProtection="1"/>
    <xf numFmtId="0" fontId="5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3" fontId="1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3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17" fillId="0" borderId="0" xfId="0" applyFont="1" applyFill="1" applyAlignment="1">
      <alignment horizontal="left" vertical="center" wrapText="1"/>
    </xf>
    <xf numFmtId="43" fontId="17" fillId="0" borderId="0" xfId="0" applyNumberFormat="1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43" fontId="2" fillId="0" borderId="1" xfId="0" applyNumberFormat="1" applyFont="1" applyFill="1" applyBorder="1" applyAlignment="1">
      <alignment horizontal="right" vertical="center"/>
    </xf>
    <xf numFmtId="43" fontId="8" fillId="0" borderId="1" xfId="0" applyNumberFormat="1" applyFont="1" applyFill="1" applyBorder="1" applyAlignment="1">
      <alignment horizontal="right" vertical="center"/>
    </xf>
    <xf numFmtId="43" fontId="1" fillId="0" borderId="1" xfId="0" applyNumberFormat="1" applyFont="1" applyFill="1" applyBorder="1" applyAlignment="1">
      <alignment vertical="center"/>
    </xf>
    <xf numFmtId="43" fontId="1" fillId="0" borderId="1" xfId="0" applyNumberFormat="1" applyFont="1" applyFill="1" applyBorder="1" applyAlignment="1">
      <alignment horizontal="right" vertical="center"/>
    </xf>
    <xf numFmtId="43" fontId="1" fillId="0" borderId="1" xfId="0" applyNumberFormat="1" applyFont="1" applyFill="1" applyBorder="1" applyAlignment="1">
      <alignment horizontal="right" vertical="center" wrapText="1"/>
    </xf>
    <xf numFmtId="43" fontId="2" fillId="0" borderId="1" xfId="0" applyNumberFormat="1" applyFont="1" applyFill="1" applyBorder="1" applyAlignment="1">
      <alignment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right" vertical="center"/>
    </xf>
    <xf numFmtId="43" fontId="1" fillId="0" borderId="0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43" fontId="2" fillId="0" borderId="3" xfId="0" applyNumberFormat="1" applyFont="1" applyFill="1" applyBorder="1" applyAlignment="1">
      <alignment vertical="center" wrapText="1"/>
    </xf>
    <xf numFmtId="43" fontId="1" fillId="0" borderId="3" xfId="0" applyNumberFormat="1" applyFont="1" applyFill="1" applyBorder="1" applyAlignment="1">
      <alignment vertical="center" wrapText="1"/>
    </xf>
    <xf numFmtId="43" fontId="1" fillId="0" borderId="1" xfId="0" applyNumberFormat="1" applyFont="1" applyFill="1" applyBorder="1" applyAlignment="1">
      <alignment vertical="center" wrapText="1"/>
    </xf>
    <xf numFmtId="43" fontId="3" fillId="0" borderId="0" xfId="0" applyNumberFormat="1" applyFont="1" applyFill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43" fontId="17" fillId="0" borderId="0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3" fontId="8" fillId="0" borderId="1" xfId="0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43" fontId="2" fillId="0" borderId="3" xfId="0" applyNumberFormat="1" applyFont="1" applyFill="1" applyBorder="1" applyAlignment="1">
      <alignment vertical="center"/>
    </xf>
    <xf numFmtId="43" fontId="1" fillId="0" borderId="3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分县年报格式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191;&#19996;&#30465;57&#20010;&#21439;&#21306;&#20057;&#32925;&#26089;&#38450;&#26089;&#27835;&#25509;&#31181;&#32463;&#36153;&#27979;&#31639;&#34920;202308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"/>
      <sheetName val="验算"/>
      <sheetName val="总表"/>
      <sheetName val="2024年预算（报）"/>
      <sheetName val="摸底数"/>
      <sheetName val="整齐意见稿"/>
      <sheetName val="2024年预算表（稿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地区</v>
          </cell>
          <cell r="C1" t="str">
            <v>七普20-70岁</v>
          </cell>
          <cell r="D1" t="str">
            <v>20-70岁人群</v>
          </cell>
          <cell r="E1" t="str">
            <v>摸底人口数中已有</v>
          </cell>
        </row>
        <row r="2">
          <cell r="C2" t="str">
            <v>常住人口数</v>
          </cell>
          <cell r="D2" t="str">
            <v>实际摸底常住人口数</v>
          </cell>
          <cell r="E2" t="str">
            <v>乙肝表面抗原筛查结果人数</v>
          </cell>
        </row>
        <row r="3">
          <cell r="C3" t="str">
            <v>（参考）</v>
          </cell>
        </row>
        <row r="3">
          <cell r="E3" t="str">
            <v>合计</v>
          </cell>
          <cell r="F3" t="str">
            <v>阴性</v>
          </cell>
          <cell r="G3" t="str">
            <v>阳性</v>
          </cell>
        </row>
        <row r="4">
          <cell r="B4" t="str">
            <v>合计</v>
          </cell>
          <cell r="C4">
            <v>21913807</v>
          </cell>
          <cell r="D4">
            <v>20974449</v>
          </cell>
          <cell r="E4">
            <v>8098723</v>
          </cell>
          <cell r="F4">
            <v>7154994</v>
          </cell>
          <cell r="G4">
            <v>943775</v>
          </cell>
        </row>
        <row r="5">
          <cell r="B5" t="str">
            <v>韶关市</v>
          </cell>
          <cell r="C5">
            <v>1168759</v>
          </cell>
          <cell r="D5">
            <v>1074160</v>
          </cell>
          <cell r="E5">
            <v>399214</v>
          </cell>
          <cell r="F5">
            <v>349794</v>
          </cell>
          <cell r="G5">
            <v>49420</v>
          </cell>
        </row>
        <row r="6">
          <cell r="B6" t="str">
            <v>    始兴县</v>
          </cell>
          <cell r="C6">
            <v>128153</v>
          </cell>
          <cell r="D6">
            <v>122510</v>
          </cell>
          <cell r="E6">
            <v>35399</v>
          </cell>
          <cell r="F6">
            <v>30801</v>
          </cell>
          <cell r="G6">
            <v>4598</v>
          </cell>
        </row>
        <row r="7">
          <cell r="B7" t="str">
            <v>    仁化县</v>
          </cell>
          <cell r="C7">
            <v>120986</v>
          </cell>
          <cell r="D7">
            <v>120900</v>
          </cell>
          <cell r="E7">
            <v>41945</v>
          </cell>
          <cell r="F7">
            <v>35320</v>
          </cell>
          <cell r="G7">
            <v>6625</v>
          </cell>
        </row>
        <row r="8">
          <cell r="B8" t="str">
            <v>    翁源县</v>
          </cell>
          <cell r="C8">
            <v>203502</v>
          </cell>
          <cell r="D8">
            <v>188220</v>
          </cell>
          <cell r="E8">
            <v>75275</v>
          </cell>
          <cell r="F8">
            <v>67564</v>
          </cell>
          <cell r="G8">
            <v>7711</v>
          </cell>
        </row>
        <row r="9">
          <cell r="B9" t="str">
            <v>    乳源瑶族自治县</v>
          </cell>
          <cell r="C9">
            <v>120021</v>
          </cell>
          <cell r="D9">
            <v>120021</v>
          </cell>
          <cell r="E9">
            <v>80277</v>
          </cell>
          <cell r="F9">
            <v>70014</v>
          </cell>
          <cell r="G9">
            <v>10263</v>
          </cell>
        </row>
        <row r="10">
          <cell r="B10" t="str">
            <v>    新丰县</v>
          </cell>
          <cell r="C10">
            <v>126073</v>
          </cell>
          <cell r="D10">
            <v>116590</v>
          </cell>
          <cell r="E10">
            <v>28321</v>
          </cell>
          <cell r="F10">
            <v>26055</v>
          </cell>
          <cell r="G10">
            <v>2266</v>
          </cell>
        </row>
        <row r="11">
          <cell r="B11" t="str">
            <v>    乐昌市</v>
          </cell>
          <cell r="C11">
            <v>240981</v>
          </cell>
          <cell r="D11">
            <v>223884</v>
          </cell>
          <cell r="E11">
            <v>63435</v>
          </cell>
          <cell r="F11">
            <v>54065</v>
          </cell>
          <cell r="G11">
            <v>9370</v>
          </cell>
        </row>
        <row r="12">
          <cell r="B12" t="str">
            <v>    南雄市</v>
          </cell>
          <cell r="C12">
            <v>229043</v>
          </cell>
          <cell r="D12">
            <v>182035</v>
          </cell>
          <cell r="E12">
            <v>74562</v>
          </cell>
          <cell r="F12">
            <v>65975</v>
          </cell>
          <cell r="G12">
            <v>8587</v>
          </cell>
        </row>
        <row r="13">
          <cell r="B13" t="str">
            <v>汕头市</v>
          </cell>
          <cell r="C13">
            <v>46196</v>
          </cell>
          <cell r="D13">
            <v>46196</v>
          </cell>
          <cell r="E13">
            <v>3418</v>
          </cell>
          <cell r="F13">
            <v>2706</v>
          </cell>
          <cell r="G13">
            <v>712</v>
          </cell>
        </row>
        <row r="14">
          <cell r="B14" t="str">
            <v>    南澳县</v>
          </cell>
          <cell r="C14">
            <v>46196</v>
          </cell>
          <cell r="D14">
            <v>46196</v>
          </cell>
          <cell r="E14">
            <v>3418</v>
          </cell>
          <cell r="F14">
            <v>2706</v>
          </cell>
          <cell r="G14">
            <v>712</v>
          </cell>
        </row>
        <row r="15">
          <cell r="B15" t="str">
            <v>江门市</v>
          </cell>
          <cell r="C15">
            <v>1901913</v>
          </cell>
          <cell r="D15">
            <v>1910085</v>
          </cell>
          <cell r="E15">
            <v>1171147</v>
          </cell>
          <cell r="F15">
            <v>1035633</v>
          </cell>
          <cell r="G15">
            <v>135514</v>
          </cell>
        </row>
        <row r="16">
          <cell r="B16" t="str">
            <v>    台山市</v>
          </cell>
          <cell r="C16">
            <v>649594</v>
          </cell>
          <cell r="D16">
            <v>648417</v>
          </cell>
          <cell r="E16">
            <v>330582</v>
          </cell>
          <cell r="F16">
            <v>297576</v>
          </cell>
          <cell r="G16">
            <v>33006</v>
          </cell>
        </row>
        <row r="17">
          <cell r="B17" t="str">
            <v>    开平市</v>
          </cell>
          <cell r="C17">
            <v>527010</v>
          </cell>
          <cell r="D17">
            <v>521740</v>
          </cell>
          <cell r="E17">
            <v>390513</v>
          </cell>
          <cell r="F17">
            <v>342249</v>
          </cell>
          <cell r="G17">
            <v>48264</v>
          </cell>
        </row>
        <row r="18">
          <cell r="B18" t="str">
            <v>    鹤山市</v>
          </cell>
          <cell r="C18">
            <v>381458</v>
          </cell>
          <cell r="D18">
            <v>391945</v>
          </cell>
          <cell r="E18">
            <v>190271</v>
          </cell>
          <cell r="F18">
            <v>168116</v>
          </cell>
          <cell r="G18">
            <v>22155</v>
          </cell>
        </row>
        <row r="19">
          <cell r="B19" t="str">
            <v>    恩平市</v>
          </cell>
          <cell r="C19">
            <v>343851</v>
          </cell>
          <cell r="D19">
            <v>347983</v>
          </cell>
          <cell r="E19">
            <v>259781</v>
          </cell>
          <cell r="F19">
            <v>227692</v>
          </cell>
          <cell r="G19">
            <v>32089</v>
          </cell>
        </row>
        <row r="20">
          <cell r="B20" t="str">
            <v>湛江市</v>
          </cell>
          <cell r="C20">
            <v>3000525</v>
          </cell>
          <cell r="D20">
            <v>3079356</v>
          </cell>
          <cell r="E20">
            <v>1192936</v>
          </cell>
          <cell r="F20">
            <v>1057100</v>
          </cell>
          <cell r="G20">
            <v>135836</v>
          </cell>
        </row>
        <row r="21">
          <cell r="B21" t="str">
            <v>    遂溪县</v>
          </cell>
          <cell r="C21">
            <v>497405</v>
          </cell>
          <cell r="D21">
            <v>497405</v>
          </cell>
          <cell r="E21">
            <v>222573</v>
          </cell>
          <cell r="F21">
            <v>204074</v>
          </cell>
          <cell r="G21">
            <v>18499</v>
          </cell>
        </row>
        <row r="22">
          <cell r="B22" t="str">
            <v>    徐闻县</v>
          </cell>
          <cell r="C22">
            <v>387606</v>
          </cell>
          <cell r="D22">
            <v>454269</v>
          </cell>
          <cell r="E22">
            <v>118630</v>
          </cell>
          <cell r="F22">
            <v>100047</v>
          </cell>
          <cell r="G22">
            <v>18583</v>
          </cell>
        </row>
        <row r="23">
          <cell r="B23" t="str">
            <v>    廉江市</v>
          </cell>
          <cell r="C23">
            <v>792270</v>
          </cell>
          <cell r="D23">
            <v>801879</v>
          </cell>
          <cell r="E23">
            <v>311275</v>
          </cell>
          <cell r="F23">
            <v>282302</v>
          </cell>
          <cell r="G23">
            <v>28973</v>
          </cell>
        </row>
        <row r="24">
          <cell r="B24" t="str">
            <v>    雷州市</v>
          </cell>
          <cell r="C24">
            <v>775857</v>
          </cell>
          <cell r="D24">
            <v>775857</v>
          </cell>
          <cell r="E24">
            <v>137844</v>
          </cell>
          <cell r="F24">
            <v>121721</v>
          </cell>
          <cell r="G24">
            <v>16123</v>
          </cell>
        </row>
        <row r="25">
          <cell r="B25" t="str">
            <v>    吴川市</v>
          </cell>
          <cell r="C25">
            <v>547387</v>
          </cell>
          <cell r="D25">
            <v>549946</v>
          </cell>
          <cell r="E25">
            <v>402614</v>
          </cell>
          <cell r="F25">
            <v>348956</v>
          </cell>
          <cell r="G25">
            <v>53658</v>
          </cell>
        </row>
        <row r="26">
          <cell r="B26" t="str">
            <v>茂名市</v>
          </cell>
          <cell r="C26">
            <v>2057923</v>
          </cell>
          <cell r="D26">
            <v>1860263</v>
          </cell>
          <cell r="E26">
            <v>839492</v>
          </cell>
          <cell r="F26">
            <v>758903</v>
          </cell>
          <cell r="G26">
            <v>80589</v>
          </cell>
        </row>
        <row r="27">
          <cell r="B27" t="str">
            <v>    高州市</v>
          </cell>
          <cell r="C27">
            <v>766406</v>
          </cell>
          <cell r="D27">
            <v>712309</v>
          </cell>
          <cell r="E27">
            <v>302318</v>
          </cell>
          <cell r="F27">
            <v>267270</v>
          </cell>
          <cell r="G27">
            <v>35048</v>
          </cell>
        </row>
        <row r="28">
          <cell r="B28" t="str">
            <v>    化州市</v>
          </cell>
          <cell r="C28">
            <v>717342</v>
          </cell>
          <cell r="D28">
            <v>614131</v>
          </cell>
          <cell r="E28">
            <v>230037</v>
          </cell>
          <cell r="F28">
            <v>210479</v>
          </cell>
          <cell r="G28">
            <v>19558</v>
          </cell>
        </row>
        <row r="29">
          <cell r="B29" t="str">
            <v>    信宜市</v>
          </cell>
          <cell r="C29">
            <v>574175</v>
          </cell>
          <cell r="D29">
            <v>533823</v>
          </cell>
          <cell r="E29">
            <v>307137</v>
          </cell>
          <cell r="F29">
            <v>281154</v>
          </cell>
          <cell r="G29">
            <v>25983</v>
          </cell>
        </row>
        <row r="30">
          <cell r="B30" t="str">
            <v>肇庆市</v>
          </cell>
          <cell r="C30">
            <v>1619639</v>
          </cell>
          <cell r="D30">
            <v>1384019</v>
          </cell>
          <cell r="E30">
            <v>716213</v>
          </cell>
          <cell r="F30">
            <v>645058</v>
          </cell>
          <cell r="G30">
            <v>71147</v>
          </cell>
        </row>
        <row r="31">
          <cell r="B31" t="str">
            <v>    广宁县</v>
          </cell>
          <cell r="C31">
            <v>258056</v>
          </cell>
          <cell r="D31">
            <v>254266</v>
          </cell>
          <cell r="E31">
            <v>179734</v>
          </cell>
          <cell r="F31">
            <v>165577</v>
          </cell>
          <cell r="G31">
            <v>14149</v>
          </cell>
        </row>
        <row r="32">
          <cell r="B32" t="str">
            <v>    怀集县</v>
          </cell>
          <cell r="C32">
            <v>472739</v>
          </cell>
          <cell r="D32">
            <v>386138</v>
          </cell>
          <cell r="E32">
            <v>207299</v>
          </cell>
          <cell r="F32">
            <v>184297</v>
          </cell>
          <cell r="G32">
            <v>23002</v>
          </cell>
        </row>
        <row r="33">
          <cell r="B33" t="str">
            <v>    封开县</v>
          </cell>
          <cell r="C33">
            <v>228974</v>
          </cell>
          <cell r="D33">
            <v>196861</v>
          </cell>
          <cell r="E33">
            <v>129948</v>
          </cell>
          <cell r="F33">
            <v>115662</v>
          </cell>
          <cell r="G33">
            <v>14286</v>
          </cell>
        </row>
        <row r="34">
          <cell r="B34" t="str">
            <v>    德庆县</v>
          </cell>
          <cell r="C34">
            <v>207985</v>
          </cell>
          <cell r="D34">
            <v>207985</v>
          </cell>
          <cell r="E34">
            <v>67401</v>
          </cell>
          <cell r="F34">
            <v>60457</v>
          </cell>
          <cell r="G34">
            <v>6944</v>
          </cell>
        </row>
        <row r="35">
          <cell r="B35" t="str">
            <v>    四会市</v>
          </cell>
          <cell r="C35">
            <v>451885</v>
          </cell>
          <cell r="D35">
            <v>338769</v>
          </cell>
          <cell r="E35">
            <v>131831</v>
          </cell>
          <cell r="F35">
            <v>119065</v>
          </cell>
          <cell r="G35">
            <v>12766</v>
          </cell>
        </row>
        <row r="36">
          <cell r="B36" t="str">
            <v>惠州市</v>
          </cell>
          <cell r="C36">
            <v>1702415</v>
          </cell>
          <cell r="D36">
            <v>1656785</v>
          </cell>
          <cell r="E36">
            <v>356017</v>
          </cell>
          <cell r="F36">
            <v>310755</v>
          </cell>
          <cell r="G36">
            <v>45262</v>
          </cell>
        </row>
        <row r="37">
          <cell r="B37" t="str">
            <v>    博罗县</v>
          </cell>
          <cell r="C37">
            <v>826100</v>
          </cell>
          <cell r="D37">
            <v>826100</v>
          </cell>
          <cell r="E37">
            <v>242764</v>
          </cell>
          <cell r="F37">
            <v>208942</v>
          </cell>
          <cell r="G37">
            <v>33822</v>
          </cell>
        </row>
        <row r="38">
          <cell r="B38" t="str">
            <v>    惠东县</v>
          </cell>
          <cell r="C38">
            <v>667221</v>
          </cell>
          <cell r="D38">
            <v>667221</v>
          </cell>
          <cell r="E38">
            <v>107452</v>
          </cell>
          <cell r="F38">
            <v>97335</v>
          </cell>
          <cell r="G38">
            <v>10117</v>
          </cell>
        </row>
        <row r="39">
          <cell r="B39" t="str">
            <v>    龙门县</v>
          </cell>
          <cell r="C39">
            <v>209094</v>
          </cell>
          <cell r="D39">
            <v>163464</v>
          </cell>
          <cell r="E39">
            <v>5801</v>
          </cell>
          <cell r="F39">
            <v>4478</v>
          </cell>
          <cell r="G39">
            <v>1323</v>
          </cell>
        </row>
        <row r="40">
          <cell r="B40" t="str">
            <v>梅州市</v>
          </cell>
          <cell r="C40">
            <v>1746774</v>
          </cell>
          <cell r="D40">
            <v>1807860</v>
          </cell>
          <cell r="E40">
            <v>1003431</v>
          </cell>
          <cell r="F40">
            <v>871214</v>
          </cell>
          <cell r="G40">
            <v>132271</v>
          </cell>
        </row>
        <row r="41">
          <cell r="B41" t="str">
            <v>    大埔县</v>
          </cell>
          <cell r="C41">
            <v>204859</v>
          </cell>
          <cell r="D41">
            <v>196859</v>
          </cell>
          <cell r="E41">
            <v>119593</v>
          </cell>
          <cell r="F41">
            <v>36311</v>
          </cell>
          <cell r="G41">
            <v>83282</v>
          </cell>
        </row>
        <row r="42">
          <cell r="B42" t="str">
            <v>    丰顺县</v>
          </cell>
          <cell r="C42">
            <v>295089</v>
          </cell>
          <cell r="D42">
            <v>295089</v>
          </cell>
          <cell r="E42">
            <v>289920</v>
          </cell>
          <cell r="F42">
            <v>280052</v>
          </cell>
          <cell r="G42">
            <v>9868</v>
          </cell>
        </row>
        <row r="43">
          <cell r="B43" t="str">
            <v>    五华县</v>
          </cell>
          <cell r="C43">
            <v>513139</v>
          </cell>
          <cell r="D43">
            <v>621220</v>
          </cell>
          <cell r="E43">
            <v>372732</v>
          </cell>
          <cell r="F43">
            <v>368329</v>
          </cell>
          <cell r="G43">
            <v>4403</v>
          </cell>
        </row>
        <row r="44">
          <cell r="B44" t="str">
            <v>    平远县</v>
          </cell>
          <cell r="C44">
            <v>125560</v>
          </cell>
          <cell r="D44">
            <v>95316</v>
          </cell>
          <cell r="E44">
            <v>45325</v>
          </cell>
          <cell r="F44">
            <v>40674</v>
          </cell>
          <cell r="G44">
            <v>4651</v>
          </cell>
        </row>
        <row r="45">
          <cell r="B45" t="str">
            <v>    蕉岭县</v>
          </cell>
          <cell r="C45">
            <v>122978</v>
          </cell>
          <cell r="D45">
            <v>114227</v>
          </cell>
          <cell r="E45">
            <v>72464</v>
          </cell>
          <cell r="F45">
            <v>65936</v>
          </cell>
          <cell r="G45">
            <v>6528</v>
          </cell>
        </row>
        <row r="46">
          <cell r="B46" t="str">
            <v>    兴宁市</v>
          </cell>
          <cell r="C46">
            <v>485149</v>
          </cell>
          <cell r="D46">
            <v>485149</v>
          </cell>
          <cell r="E46">
            <v>103397</v>
          </cell>
          <cell r="F46">
            <v>79912</v>
          </cell>
          <cell r="G46">
            <v>23485</v>
          </cell>
        </row>
        <row r="47">
          <cell r="B47" t="str">
            <v>汕尾市</v>
          </cell>
          <cell r="C47">
            <v>1389178</v>
          </cell>
          <cell r="D47">
            <v>1301477</v>
          </cell>
          <cell r="E47">
            <v>98027</v>
          </cell>
          <cell r="F47">
            <v>83703</v>
          </cell>
          <cell r="G47">
            <v>14324</v>
          </cell>
        </row>
        <row r="48">
          <cell r="B48" t="str">
            <v>    海丰县</v>
          </cell>
          <cell r="C48">
            <v>518269</v>
          </cell>
          <cell r="D48">
            <v>478182</v>
          </cell>
          <cell r="E48">
            <v>50093</v>
          </cell>
          <cell r="F48">
            <v>41879</v>
          </cell>
          <cell r="G48">
            <v>8214</v>
          </cell>
        </row>
        <row r="49">
          <cell r="B49" t="str">
            <v>    陆河县</v>
          </cell>
          <cell r="C49">
            <v>148211</v>
          </cell>
          <cell r="D49">
            <v>100597</v>
          </cell>
          <cell r="E49">
            <v>6621</v>
          </cell>
          <cell r="F49">
            <v>6253</v>
          </cell>
          <cell r="G49">
            <v>368</v>
          </cell>
        </row>
        <row r="50">
          <cell r="B50" t="str">
            <v>    陆丰市</v>
          </cell>
          <cell r="C50">
            <v>722698</v>
          </cell>
          <cell r="D50">
            <v>722698</v>
          </cell>
          <cell r="E50">
            <v>41313</v>
          </cell>
          <cell r="F50">
            <v>35571</v>
          </cell>
          <cell r="G50">
            <v>5742</v>
          </cell>
        </row>
        <row r="51">
          <cell r="B51" t="str">
            <v>河源市</v>
          </cell>
          <cell r="C51">
            <v>1266965</v>
          </cell>
          <cell r="D51">
            <v>1266965</v>
          </cell>
          <cell r="E51">
            <v>526652</v>
          </cell>
          <cell r="F51">
            <v>471765</v>
          </cell>
          <cell r="G51">
            <v>54887</v>
          </cell>
        </row>
        <row r="52">
          <cell r="B52" t="str">
            <v>    紫金县</v>
          </cell>
          <cell r="C52">
            <v>318346</v>
          </cell>
          <cell r="D52">
            <v>318346</v>
          </cell>
          <cell r="E52">
            <v>167093</v>
          </cell>
          <cell r="F52">
            <v>149871</v>
          </cell>
          <cell r="G52">
            <v>17222</v>
          </cell>
        </row>
        <row r="53">
          <cell r="B53" t="str">
            <v>    龙川县</v>
          </cell>
          <cell r="C53">
            <v>349329</v>
          </cell>
          <cell r="D53">
            <v>349329</v>
          </cell>
          <cell r="E53">
            <v>172274</v>
          </cell>
          <cell r="F53">
            <v>149460</v>
          </cell>
          <cell r="G53">
            <v>22814</v>
          </cell>
        </row>
        <row r="54">
          <cell r="B54" t="str">
            <v>    连平县</v>
          </cell>
          <cell r="C54">
            <v>176812</v>
          </cell>
          <cell r="D54">
            <v>176812</v>
          </cell>
          <cell r="E54">
            <v>52396</v>
          </cell>
          <cell r="F54">
            <v>46160</v>
          </cell>
          <cell r="G54">
            <v>6236</v>
          </cell>
        </row>
        <row r="55">
          <cell r="B55" t="str">
            <v>    和平县</v>
          </cell>
          <cell r="C55">
            <v>207762</v>
          </cell>
          <cell r="D55">
            <v>207762</v>
          </cell>
          <cell r="E55">
            <v>68786</v>
          </cell>
          <cell r="F55">
            <v>66617</v>
          </cell>
          <cell r="G55">
            <v>2169</v>
          </cell>
        </row>
        <row r="56">
          <cell r="B56" t="str">
            <v>    东源县</v>
          </cell>
          <cell r="C56">
            <v>214716</v>
          </cell>
          <cell r="D56">
            <v>214716</v>
          </cell>
          <cell r="E56">
            <v>66103</v>
          </cell>
          <cell r="F56">
            <v>59657</v>
          </cell>
          <cell r="G56">
            <v>6446</v>
          </cell>
        </row>
        <row r="57">
          <cell r="B57" t="str">
            <v>阳江市</v>
          </cell>
          <cell r="C57">
            <v>819024</v>
          </cell>
          <cell r="D57">
            <v>859387</v>
          </cell>
          <cell r="E57">
            <v>610588</v>
          </cell>
          <cell r="F57">
            <v>565706</v>
          </cell>
          <cell r="G57">
            <v>44882</v>
          </cell>
        </row>
        <row r="58">
          <cell r="B58" t="str">
            <v>    阳西县</v>
          </cell>
          <cell r="C58">
            <v>282233</v>
          </cell>
          <cell r="D58">
            <v>298294</v>
          </cell>
          <cell r="E58">
            <v>248326</v>
          </cell>
          <cell r="F58">
            <v>237879</v>
          </cell>
          <cell r="G58">
            <v>10447</v>
          </cell>
        </row>
        <row r="59">
          <cell r="B59" t="str">
            <v>    阳春市</v>
          </cell>
          <cell r="C59">
            <v>536791</v>
          </cell>
          <cell r="D59">
            <v>561093</v>
          </cell>
          <cell r="E59">
            <v>362262</v>
          </cell>
          <cell r="F59">
            <v>327827</v>
          </cell>
          <cell r="G59">
            <v>34435</v>
          </cell>
        </row>
        <row r="60">
          <cell r="B60" t="str">
            <v>清远市</v>
          </cell>
          <cell r="C60">
            <v>1411889</v>
          </cell>
          <cell r="D60">
            <v>1262547</v>
          </cell>
          <cell r="E60">
            <v>556477</v>
          </cell>
          <cell r="F60">
            <v>464732</v>
          </cell>
          <cell r="G60">
            <v>91745</v>
          </cell>
        </row>
        <row r="61">
          <cell r="B61" t="str">
            <v>    佛冈县</v>
          </cell>
          <cell r="C61">
            <v>204250</v>
          </cell>
          <cell r="D61">
            <v>205323</v>
          </cell>
          <cell r="E61">
            <v>78296</v>
          </cell>
          <cell r="F61">
            <v>68464</v>
          </cell>
          <cell r="G61">
            <v>9832</v>
          </cell>
        </row>
        <row r="62">
          <cell r="B62" t="str">
            <v>    阳山县</v>
          </cell>
          <cell r="C62">
            <v>227643</v>
          </cell>
          <cell r="D62">
            <v>226254</v>
          </cell>
          <cell r="E62">
            <v>13228</v>
          </cell>
          <cell r="F62">
            <v>323</v>
          </cell>
          <cell r="G62">
            <v>12905</v>
          </cell>
        </row>
        <row r="63">
          <cell r="B63" t="str">
            <v>    连山壮族瑶族自治县</v>
          </cell>
          <cell r="C63">
            <v>60380</v>
          </cell>
          <cell r="D63">
            <v>52535</v>
          </cell>
          <cell r="E63">
            <v>9184</v>
          </cell>
          <cell r="F63">
            <v>8253</v>
          </cell>
          <cell r="G63">
            <v>931</v>
          </cell>
        </row>
        <row r="64">
          <cell r="B64" t="str">
            <v>    连南瑶族自治县</v>
          </cell>
          <cell r="C64">
            <v>82653</v>
          </cell>
          <cell r="D64">
            <v>66948</v>
          </cell>
          <cell r="E64">
            <v>39603</v>
          </cell>
          <cell r="F64">
            <v>33329</v>
          </cell>
          <cell r="G64">
            <v>6274</v>
          </cell>
        </row>
        <row r="65">
          <cell r="B65" t="str">
            <v>    英德市</v>
          </cell>
          <cell r="C65">
            <v>599553</v>
          </cell>
          <cell r="D65">
            <v>481427</v>
          </cell>
          <cell r="E65">
            <v>257200</v>
          </cell>
          <cell r="F65">
            <v>223343</v>
          </cell>
          <cell r="G65">
            <v>33857</v>
          </cell>
        </row>
        <row r="66">
          <cell r="B66" t="str">
            <v>    连州市</v>
          </cell>
          <cell r="C66">
            <v>237410</v>
          </cell>
          <cell r="D66">
            <v>230060</v>
          </cell>
          <cell r="E66">
            <v>158966</v>
          </cell>
          <cell r="F66">
            <v>131020</v>
          </cell>
          <cell r="G66">
            <v>27946</v>
          </cell>
        </row>
        <row r="67">
          <cell r="B67" t="str">
            <v>潮州市</v>
          </cell>
          <cell r="C67">
            <v>535082</v>
          </cell>
          <cell r="D67">
            <v>577334</v>
          </cell>
          <cell r="E67">
            <v>68780</v>
          </cell>
          <cell r="F67">
            <v>64128</v>
          </cell>
          <cell r="G67">
            <v>4652</v>
          </cell>
        </row>
        <row r="68">
          <cell r="B68" t="str">
            <v>    饶平县</v>
          </cell>
          <cell r="C68">
            <v>535082</v>
          </cell>
          <cell r="D68">
            <v>577334</v>
          </cell>
          <cell r="E68">
            <v>68780</v>
          </cell>
          <cell r="F68">
            <v>64128</v>
          </cell>
          <cell r="G68">
            <v>4652</v>
          </cell>
        </row>
        <row r="69">
          <cell r="B69" t="str">
            <v>揭阳市</v>
          </cell>
          <cell r="C69">
            <v>2189808</v>
          </cell>
          <cell r="D69">
            <v>1945919</v>
          </cell>
          <cell r="E69">
            <v>233391</v>
          </cell>
          <cell r="F69">
            <v>219494</v>
          </cell>
          <cell r="G69">
            <v>13897</v>
          </cell>
        </row>
        <row r="70">
          <cell r="B70" t="str">
            <v>    揭西县</v>
          </cell>
          <cell r="C70">
            <v>410328</v>
          </cell>
          <cell r="D70">
            <v>366294</v>
          </cell>
          <cell r="E70">
            <v>48811</v>
          </cell>
          <cell r="F70">
            <v>46833</v>
          </cell>
          <cell r="G70">
            <v>1978</v>
          </cell>
        </row>
        <row r="71">
          <cell r="B71" t="str">
            <v>    惠来县</v>
          </cell>
          <cell r="C71">
            <v>574020</v>
          </cell>
          <cell r="D71">
            <v>554985</v>
          </cell>
          <cell r="E71">
            <v>71870</v>
          </cell>
          <cell r="F71">
            <v>65586</v>
          </cell>
          <cell r="G71">
            <v>6284</v>
          </cell>
        </row>
        <row r="72">
          <cell r="B72" t="str">
            <v>    普宁市</v>
          </cell>
          <cell r="C72">
            <v>1205460</v>
          </cell>
          <cell r="D72">
            <v>1024640</v>
          </cell>
          <cell r="E72">
            <v>112710</v>
          </cell>
          <cell r="F72">
            <v>107075</v>
          </cell>
          <cell r="G72">
            <v>5635</v>
          </cell>
        </row>
        <row r="73">
          <cell r="B73" t="str">
            <v>云浮市</v>
          </cell>
          <cell r="C73">
            <v>1057717</v>
          </cell>
          <cell r="D73">
            <v>942096</v>
          </cell>
          <cell r="E73">
            <v>322940</v>
          </cell>
          <cell r="F73">
            <v>254303</v>
          </cell>
          <cell r="G73">
            <v>68637</v>
          </cell>
        </row>
        <row r="74">
          <cell r="B74" t="str">
            <v>    新兴县</v>
          </cell>
          <cell r="C74">
            <v>277803</v>
          </cell>
          <cell r="D74">
            <v>271061</v>
          </cell>
          <cell r="E74">
            <v>125168</v>
          </cell>
          <cell r="F74">
            <v>109511</v>
          </cell>
          <cell r="G74">
            <v>15657</v>
          </cell>
        </row>
        <row r="75">
          <cell r="B75" t="str">
            <v>    郁南县</v>
          </cell>
          <cell r="C75">
            <v>228084</v>
          </cell>
          <cell r="D75">
            <v>217762</v>
          </cell>
          <cell r="E75">
            <v>146181</v>
          </cell>
          <cell r="F75">
            <v>129771</v>
          </cell>
          <cell r="G75">
            <v>16410</v>
          </cell>
        </row>
        <row r="76">
          <cell r="B76" t="str">
            <v>    罗定市</v>
          </cell>
          <cell r="C76">
            <v>551830</v>
          </cell>
          <cell r="D76">
            <v>453273</v>
          </cell>
          <cell r="E76">
            <v>51591</v>
          </cell>
          <cell r="F76">
            <v>15021</v>
          </cell>
          <cell r="G76">
            <v>36570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10"/>
  <sheetViews>
    <sheetView topLeftCell="C1" workbookViewId="0">
      <selection activeCell="D18" sqref="D18"/>
    </sheetView>
  </sheetViews>
  <sheetFormatPr defaultColWidth="9" defaultRowHeight="15"/>
  <cols>
    <col min="1" max="2" width="9" style="1" hidden="1" customWidth="1"/>
    <col min="3" max="3" width="20.875" style="1" customWidth="1"/>
    <col min="4" max="4" width="9.25833333333333" style="76" customWidth="1"/>
    <col min="5" max="5" width="11.75" style="76" customWidth="1"/>
    <col min="6" max="6" width="13.5083333333333" style="76" customWidth="1"/>
    <col min="7" max="7" width="13.875" style="76" customWidth="1"/>
    <col min="8" max="8" width="10.625" style="104" customWidth="1"/>
    <col min="9" max="13" width="15.75" style="104" customWidth="1"/>
    <col min="14" max="16" width="11.75" style="104" customWidth="1"/>
    <col min="17" max="17" width="13.5083333333333" style="104" customWidth="1"/>
    <col min="18" max="18" width="13.25" style="104" customWidth="1"/>
    <col min="19" max="19" width="12.25" style="104" customWidth="1"/>
    <col min="20" max="23" width="9.375" style="104" hidden="1" customWidth="1"/>
    <col min="24" max="24" width="12.25" style="104" hidden="1" customWidth="1"/>
    <col min="25" max="25" width="9.75" style="76" hidden="1" customWidth="1"/>
    <col min="26" max="26" width="12.625" style="104" hidden="1" customWidth="1"/>
    <col min="27" max="16380" width="9" style="90"/>
    <col min="16382" max="16384" width="9" style="90"/>
  </cols>
  <sheetData>
    <row r="1" s="1" customFormat="1" ht="29" customHeight="1" spans="3:26">
      <c r="C1" s="6" t="s">
        <v>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131"/>
      <c r="U1" s="131"/>
      <c r="V1" s="131"/>
      <c r="W1" s="131"/>
      <c r="X1" s="131"/>
      <c r="Y1" s="138"/>
      <c r="Z1" s="131"/>
    </row>
    <row r="2" s="1" customFormat="1" ht="29" customHeight="1" spans="3:28">
      <c r="C2" s="8" t="s">
        <v>1</v>
      </c>
      <c r="D2" s="42" t="s">
        <v>2</v>
      </c>
      <c r="E2" s="42"/>
      <c r="F2" s="42"/>
      <c r="G2" s="42"/>
      <c r="H2" s="42"/>
      <c r="I2" s="42"/>
      <c r="J2" s="42"/>
      <c r="K2" s="42"/>
      <c r="L2" s="42"/>
      <c r="M2" s="42"/>
      <c r="N2" s="42" t="s">
        <v>3</v>
      </c>
      <c r="O2" s="42"/>
      <c r="P2" s="42"/>
      <c r="Q2" s="42"/>
      <c r="R2" s="125"/>
      <c r="S2" s="8" t="s">
        <v>4</v>
      </c>
      <c r="T2" s="131"/>
      <c r="U2" s="131"/>
      <c r="V2" s="131"/>
      <c r="W2" s="131"/>
      <c r="X2" s="131"/>
      <c r="Y2" s="131"/>
      <c r="Z2" s="131"/>
      <c r="AA2" s="131"/>
      <c r="AB2" s="131"/>
    </row>
    <row r="3" s="1" customFormat="1" ht="50" customHeight="1" spans="1:26">
      <c r="A3" s="105" t="s">
        <v>5</v>
      </c>
      <c r="B3" s="105" t="s">
        <v>6</v>
      </c>
      <c r="C3" s="8"/>
      <c r="D3" s="8" t="s">
        <v>7</v>
      </c>
      <c r="E3" s="8" t="s">
        <v>8</v>
      </c>
      <c r="F3" s="8" t="s">
        <v>9</v>
      </c>
      <c r="G3" s="8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3" t="s">
        <v>16</v>
      </c>
      <c r="N3" s="126" t="s">
        <v>17</v>
      </c>
      <c r="O3" s="13" t="s">
        <v>18</v>
      </c>
      <c r="P3" s="13" t="s">
        <v>19</v>
      </c>
      <c r="Q3" s="13" t="s">
        <v>20</v>
      </c>
      <c r="R3" s="127" t="s">
        <v>21</v>
      </c>
      <c r="S3" s="8"/>
      <c r="T3" s="135" t="s">
        <v>17</v>
      </c>
      <c r="U3" s="136" t="s">
        <v>18</v>
      </c>
      <c r="V3" s="136" t="s">
        <v>22</v>
      </c>
      <c r="W3" s="35" t="s">
        <v>20</v>
      </c>
      <c r="X3" s="35" t="s">
        <v>23</v>
      </c>
      <c r="Y3" s="35" t="s">
        <v>15</v>
      </c>
      <c r="Z3" s="35" t="s">
        <v>24</v>
      </c>
    </row>
    <row r="4" s="75" customFormat="1" ht="44" customHeight="1" spans="1:26">
      <c r="A4" s="106"/>
      <c r="B4" s="106"/>
      <c r="C4" s="8" t="s">
        <v>25</v>
      </c>
      <c r="D4" s="8" t="s">
        <v>26</v>
      </c>
      <c r="E4" s="8" t="s">
        <v>27</v>
      </c>
      <c r="F4" s="8" t="s">
        <v>28</v>
      </c>
      <c r="G4" s="8" t="s">
        <v>29</v>
      </c>
      <c r="H4" s="13" t="s">
        <v>30</v>
      </c>
      <c r="I4" s="13" t="s">
        <v>31</v>
      </c>
      <c r="J4" s="13" t="s">
        <v>32</v>
      </c>
      <c r="K4" s="13" t="s">
        <v>33</v>
      </c>
      <c r="L4" s="13" t="s">
        <v>34</v>
      </c>
      <c r="M4" s="13" t="s">
        <v>35</v>
      </c>
      <c r="N4" s="126" t="s">
        <v>36</v>
      </c>
      <c r="O4" s="13" t="s">
        <v>37</v>
      </c>
      <c r="P4" s="42" t="s">
        <v>38</v>
      </c>
      <c r="Q4" s="13" t="s">
        <v>39</v>
      </c>
      <c r="R4" s="13" t="s">
        <v>40</v>
      </c>
      <c r="S4" s="13" t="s">
        <v>41</v>
      </c>
      <c r="T4" s="126" t="s">
        <v>42</v>
      </c>
      <c r="U4" s="13" t="s">
        <v>43</v>
      </c>
      <c r="V4" s="146"/>
      <c r="W4" s="13" t="s">
        <v>44</v>
      </c>
      <c r="X4" s="13" t="s">
        <v>45</v>
      </c>
      <c r="Y4" s="13" t="s">
        <v>37</v>
      </c>
      <c r="Z4" s="13" t="s">
        <v>46</v>
      </c>
    </row>
    <row r="5" s="2" customFormat="1" ht="18" customHeight="1" spans="1:26">
      <c r="A5" s="15"/>
      <c r="B5" s="15"/>
      <c r="C5" s="16" t="s">
        <v>47</v>
      </c>
      <c r="D5" s="139">
        <f t="shared" ref="D5:K5" si="0">D6+D13</f>
        <v>20974449</v>
      </c>
      <c r="E5" s="139">
        <f t="shared" si="0"/>
        <v>943721</v>
      </c>
      <c r="F5" s="139">
        <f t="shared" si="0"/>
        <v>13638395</v>
      </c>
      <c r="G5" s="139">
        <f t="shared" si="0"/>
        <v>1227455</v>
      </c>
      <c r="H5" s="119">
        <f t="shared" si="0"/>
        <v>27276.79</v>
      </c>
      <c r="I5" s="119">
        <f t="shared" si="0"/>
        <v>8592.18</v>
      </c>
      <c r="J5" s="119">
        <f t="shared" si="0"/>
        <v>490.982</v>
      </c>
      <c r="K5" s="119">
        <f t="shared" si="0"/>
        <v>36359.952</v>
      </c>
      <c r="L5" s="119"/>
      <c r="M5" s="119">
        <f t="shared" ref="M5:S5" si="1">M6+M13</f>
        <v>31931.57</v>
      </c>
      <c r="N5" s="128">
        <f t="shared" si="1"/>
        <v>1920</v>
      </c>
      <c r="O5" s="119">
        <f t="shared" si="1"/>
        <v>1505</v>
      </c>
      <c r="P5" s="119">
        <f t="shared" si="1"/>
        <v>609.61</v>
      </c>
      <c r="Q5" s="119">
        <f t="shared" si="1"/>
        <v>129</v>
      </c>
      <c r="R5" s="119">
        <f t="shared" si="1"/>
        <v>4163.61</v>
      </c>
      <c r="S5" s="119">
        <f t="shared" si="1"/>
        <v>36095.18</v>
      </c>
      <c r="T5" s="128">
        <f t="shared" ref="T5:X5" si="2">T6+T13</f>
        <v>1920</v>
      </c>
      <c r="U5" s="119">
        <f t="shared" si="2"/>
        <v>1505</v>
      </c>
      <c r="V5" s="14"/>
      <c r="W5" s="119"/>
      <c r="X5" s="119">
        <f t="shared" si="2"/>
        <v>153146.094</v>
      </c>
      <c r="Y5" s="139"/>
      <c r="Z5" s="119">
        <f>Z6+Z13</f>
        <v>135591</v>
      </c>
    </row>
    <row r="6" s="2" customFormat="1" ht="18" customHeight="1" spans="1:26">
      <c r="A6" s="15"/>
      <c r="B6" s="15"/>
      <c r="C6" s="15" t="s">
        <v>48</v>
      </c>
      <c r="D6" s="40"/>
      <c r="E6" s="40"/>
      <c r="F6" s="40"/>
      <c r="G6" s="40"/>
      <c r="H6" s="40">
        <f t="shared" ref="H6:K6" si="3">SUM(H7:H12)</f>
        <v>0</v>
      </c>
      <c r="I6" s="40">
        <f t="shared" si="3"/>
        <v>0</v>
      </c>
      <c r="J6" s="40">
        <f t="shared" si="3"/>
        <v>0</v>
      </c>
      <c r="K6" s="40">
        <f t="shared" si="3"/>
        <v>0</v>
      </c>
      <c r="L6" s="40"/>
      <c r="M6" s="40">
        <f t="shared" ref="M6:S6" si="4">SUM(M7:M12)</f>
        <v>0</v>
      </c>
      <c r="N6" s="128">
        <f t="shared" si="4"/>
        <v>120</v>
      </c>
      <c r="O6" s="128">
        <f t="shared" si="4"/>
        <v>80</v>
      </c>
      <c r="P6" s="128">
        <f t="shared" si="4"/>
        <v>39.61</v>
      </c>
      <c r="Q6" s="128">
        <f t="shared" si="4"/>
        <v>129</v>
      </c>
      <c r="R6" s="128">
        <f t="shared" si="4"/>
        <v>368.61</v>
      </c>
      <c r="S6" s="128">
        <f t="shared" si="4"/>
        <v>368.61</v>
      </c>
      <c r="T6" s="128">
        <f>SUM(T8:T12)</f>
        <v>120</v>
      </c>
      <c r="U6" s="119">
        <f>SUM(U8:U12)</f>
        <v>80</v>
      </c>
      <c r="V6" s="14"/>
      <c r="W6" s="119"/>
      <c r="X6" s="119">
        <f>SUM(X7:X12)</f>
        <v>1321</v>
      </c>
      <c r="Y6" s="139"/>
      <c r="Z6" s="119">
        <f>SUM(Z8:Z12)</f>
        <v>1321</v>
      </c>
    </row>
    <row r="7" s="2" customFormat="1" ht="18" customHeight="1" spans="1:26">
      <c r="A7" s="15"/>
      <c r="B7" s="15"/>
      <c r="C7" s="18" t="s">
        <v>49</v>
      </c>
      <c r="D7" s="139"/>
      <c r="E7" s="139"/>
      <c r="F7" s="139"/>
      <c r="G7" s="139"/>
      <c r="H7" s="119"/>
      <c r="I7" s="119"/>
      <c r="J7" s="119"/>
      <c r="K7" s="119"/>
      <c r="L7" s="120">
        <v>1</v>
      </c>
      <c r="M7" s="119"/>
      <c r="N7" s="128"/>
      <c r="O7" s="119"/>
      <c r="P7" s="19">
        <v>39.61</v>
      </c>
      <c r="Q7" s="119"/>
      <c r="R7" s="130">
        <f t="shared" ref="R7:R12" si="5">T7+U7+V7+W7</f>
        <v>39.61</v>
      </c>
      <c r="S7" s="119">
        <f t="shared" ref="S7:S12" si="6">M7+R7</f>
        <v>39.61</v>
      </c>
      <c r="T7" s="128"/>
      <c r="U7" s="119"/>
      <c r="V7" s="19">
        <v>39.61</v>
      </c>
      <c r="W7" s="119"/>
      <c r="X7" s="119"/>
      <c r="Y7" s="139"/>
      <c r="Z7" s="119"/>
    </row>
    <row r="8" s="3" customFormat="1" ht="18" customHeight="1" spans="1:26">
      <c r="A8" s="18"/>
      <c r="B8" s="18"/>
      <c r="C8" s="18" t="s">
        <v>50</v>
      </c>
      <c r="D8" s="28"/>
      <c r="E8" s="28"/>
      <c r="F8" s="28"/>
      <c r="G8" s="28"/>
      <c r="H8" s="130"/>
      <c r="I8" s="130"/>
      <c r="J8" s="130"/>
      <c r="K8" s="130"/>
      <c r="L8" s="120">
        <v>1</v>
      </c>
      <c r="M8" s="130"/>
      <c r="N8" s="129">
        <v>60</v>
      </c>
      <c r="O8" s="130">
        <v>20</v>
      </c>
      <c r="P8" s="19"/>
      <c r="Q8" s="130"/>
      <c r="R8" s="130">
        <f t="shared" si="5"/>
        <v>80</v>
      </c>
      <c r="S8" s="119">
        <f t="shared" si="6"/>
        <v>80</v>
      </c>
      <c r="T8" s="129">
        <v>60</v>
      </c>
      <c r="U8" s="130">
        <v>20</v>
      </c>
      <c r="V8" s="19"/>
      <c r="W8" s="130"/>
      <c r="X8" s="130">
        <f>SUM(H8:W8)</f>
        <v>321</v>
      </c>
      <c r="Y8" s="120">
        <v>1</v>
      </c>
      <c r="Z8" s="130">
        <f t="shared" ref="Z8:Z12" si="7">ROUND(X8*Y8,0)</f>
        <v>321</v>
      </c>
    </row>
    <row r="9" s="3" customFormat="1" ht="18" customHeight="1" spans="1:26">
      <c r="A9" s="18"/>
      <c r="B9" s="18"/>
      <c r="C9" s="18" t="s">
        <v>51</v>
      </c>
      <c r="D9" s="28"/>
      <c r="E9" s="28"/>
      <c r="F9" s="28"/>
      <c r="G9" s="28"/>
      <c r="H9" s="130"/>
      <c r="I9" s="130"/>
      <c r="J9" s="130"/>
      <c r="K9" s="130"/>
      <c r="L9" s="120">
        <v>1</v>
      </c>
      <c r="M9" s="130"/>
      <c r="N9" s="129"/>
      <c r="O9" s="130"/>
      <c r="P9" s="19"/>
      <c r="Q9" s="130">
        <v>129</v>
      </c>
      <c r="R9" s="130">
        <f t="shared" si="5"/>
        <v>129</v>
      </c>
      <c r="S9" s="119">
        <f t="shared" si="6"/>
        <v>129</v>
      </c>
      <c r="T9" s="129"/>
      <c r="U9" s="130"/>
      <c r="V9" s="19"/>
      <c r="W9" s="130">
        <v>129</v>
      </c>
      <c r="X9" s="130">
        <f>SUM(H9:W9)</f>
        <v>517</v>
      </c>
      <c r="Y9" s="120">
        <v>1</v>
      </c>
      <c r="Z9" s="130">
        <f t="shared" si="7"/>
        <v>517</v>
      </c>
    </row>
    <row r="10" s="3" customFormat="1" ht="18" customHeight="1" spans="1:26">
      <c r="A10" s="18"/>
      <c r="B10" s="18"/>
      <c r="C10" s="18" t="s">
        <v>52</v>
      </c>
      <c r="D10" s="28"/>
      <c r="E10" s="28"/>
      <c r="F10" s="28"/>
      <c r="G10" s="28"/>
      <c r="H10" s="130"/>
      <c r="I10" s="130"/>
      <c r="J10" s="130"/>
      <c r="K10" s="130"/>
      <c r="L10" s="120">
        <v>1</v>
      </c>
      <c r="M10" s="130"/>
      <c r="N10" s="129">
        <v>60</v>
      </c>
      <c r="O10" s="130">
        <v>20</v>
      </c>
      <c r="P10" s="19"/>
      <c r="Q10" s="130"/>
      <c r="R10" s="130">
        <f t="shared" si="5"/>
        <v>80</v>
      </c>
      <c r="S10" s="119">
        <f t="shared" si="6"/>
        <v>80</v>
      </c>
      <c r="T10" s="129">
        <v>60</v>
      </c>
      <c r="U10" s="130">
        <v>20</v>
      </c>
      <c r="V10" s="19"/>
      <c r="W10" s="130"/>
      <c r="X10" s="130">
        <f>SUM(H10:W10)</f>
        <v>321</v>
      </c>
      <c r="Y10" s="120">
        <v>1</v>
      </c>
      <c r="Z10" s="130">
        <f t="shared" si="7"/>
        <v>321</v>
      </c>
    </row>
    <row r="11" s="3" customFormat="1" ht="18" customHeight="1" spans="1:26">
      <c r="A11" s="18"/>
      <c r="B11" s="18"/>
      <c r="C11" s="18" t="s">
        <v>53</v>
      </c>
      <c r="D11" s="28"/>
      <c r="E11" s="28"/>
      <c r="F11" s="28"/>
      <c r="G11" s="28"/>
      <c r="H11" s="130"/>
      <c r="I11" s="130"/>
      <c r="J11" s="130"/>
      <c r="K11" s="130"/>
      <c r="L11" s="120">
        <v>1</v>
      </c>
      <c r="M11" s="130"/>
      <c r="N11" s="129"/>
      <c r="O11" s="130">
        <v>20</v>
      </c>
      <c r="P11" s="19"/>
      <c r="Q11" s="130"/>
      <c r="R11" s="130">
        <f t="shared" si="5"/>
        <v>20</v>
      </c>
      <c r="S11" s="119">
        <f t="shared" si="6"/>
        <v>20</v>
      </c>
      <c r="T11" s="129"/>
      <c r="U11" s="130">
        <v>20</v>
      </c>
      <c r="V11" s="19"/>
      <c r="W11" s="130"/>
      <c r="X11" s="130">
        <f>SUM(H11:W11)</f>
        <v>81</v>
      </c>
      <c r="Y11" s="120">
        <v>1</v>
      </c>
      <c r="Z11" s="130">
        <f t="shared" si="7"/>
        <v>81</v>
      </c>
    </row>
    <row r="12" s="3" customFormat="1" ht="18" customHeight="1" spans="1:26">
      <c r="A12" s="18"/>
      <c r="B12" s="18"/>
      <c r="C12" s="18" t="s">
        <v>54</v>
      </c>
      <c r="D12" s="28"/>
      <c r="E12" s="28"/>
      <c r="F12" s="28"/>
      <c r="G12" s="28"/>
      <c r="H12" s="130"/>
      <c r="I12" s="130"/>
      <c r="J12" s="130"/>
      <c r="K12" s="130"/>
      <c r="L12" s="120">
        <v>1</v>
      </c>
      <c r="M12" s="130"/>
      <c r="N12" s="129"/>
      <c r="O12" s="130">
        <v>20</v>
      </c>
      <c r="P12" s="19"/>
      <c r="Q12" s="130"/>
      <c r="R12" s="130">
        <f t="shared" si="5"/>
        <v>20</v>
      </c>
      <c r="S12" s="119">
        <f t="shared" si="6"/>
        <v>20</v>
      </c>
      <c r="T12" s="129"/>
      <c r="U12" s="130">
        <v>20</v>
      </c>
      <c r="V12" s="19"/>
      <c r="W12" s="130"/>
      <c r="X12" s="130">
        <f>SUM(H12:W12)</f>
        <v>81</v>
      </c>
      <c r="Y12" s="120">
        <v>1</v>
      </c>
      <c r="Z12" s="130">
        <f t="shared" si="7"/>
        <v>81</v>
      </c>
    </row>
    <row r="13" s="2" customFormat="1" ht="18" customHeight="1" spans="1:26">
      <c r="A13" s="15"/>
      <c r="B13" s="15"/>
      <c r="C13" s="15" t="s">
        <v>55</v>
      </c>
      <c r="D13" s="140">
        <f t="shared" ref="D13:K13" si="8">D14+D23+D26+D32+D39+D44+D51+D56+D64+D69+D76+D88+D91+D96+D80</f>
        <v>20974449</v>
      </c>
      <c r="E13" s="140">
        <f t="shared" si="8"/>
        <v>943721</v>
      </c>
      <c r="F13" s="140">
        <f t="shared" si="8"/>
        <v>13638395</v>
      </c>
      <c r="G13" s="140">
        <f t="shared" si="8"/>
        <v>1227455</v>
      </c>
      <c r="H13" s="107">
        <f t="shared" si="8"/>
        <v>27276.79</v>
      </c>
      <c r="I13" s="107">
        <f t="shared" si="8"/>
        <v>8592.18</v>
      </c>
      <c r="J13" s="107">
        <f t="shared" si="8"/>
        <v>490.982</v>
      </c>
      <c r="K13" s="107">
        <f t="shared" si="8"/>
        <v>36359.952</v>
      </c>
      <c r="L13" s="107"/>
      <c r="M13" s="107">
        <f t="shared" ref="M13:P13" si="9">M14+M23+M26+M32+M39+M44+M51+M56+M64+M69+M76+M88+M91+M96+M80</f>
        <v>31931.57</v>
      </c>
      <c r="N13" s="144">
        <f t="shared" si="9"/>
        <v>1800</v>
      </c>
      <c r="O13" s="107">
        <f t="shared" si="9"/>
        <v>1425</v>
      </c>
      <c r="P13" s="107">
        <f t="shared" si="9"/>
        <v>570</v>
      </c>
      <c r="Q13" s="107">
        <v>0</v>
      </c>
      <c r="R13" s="107">
        <f>R14+R23+R26+R32+R39+R44+R51+R56+R64+R69+R76+R88+R91+R96+R80</f>
        <v>3795</v>
      </c>
      <c r="S13" s="107">
        <f>S14+S23+S26+S32+S39+S44+S51+S56+S64+S69+S76+S88+S91+S96+S80</f>
        <v>35726.57</v>
      </c>
      <c r="T13" s="144">
        <f t="shared" ref="T13:X13" si="10">T14+T23+T26+T32+T39+T44+T51+T56+T64+T69+T76+T88+T91+T96+T80</f>
        <v>1800</v>
      </c>
      <c r="U13" s="107">
        <f t="shared" si="10"/>
        <v>1425</v>
      </c>
      <c r="V13" s="14"/>
      <c r="W13" s="107"/>
      <c r="X13" s="107">
        <f t="shared" si="10"/>
        <v>151825.094</v>
      </c>
      <c r="Y13" s="140"/>
      <c r="Z13" s="107">
        <f>Z14+Z23+Z26+Z32+Z39+Z44+Z51+Z56+Z64+Z69+Z76+Z88+Z91+Z96+Z80</f>
        <v>134270</v>
      </c>
    </row>
    <row r="14" s="4" customFormat="1" ht="18" customHeight="1" spans="1:26">
      <c r="A14" s="22">
        <v>440200</v>
      </c>
      <c r="B14" s="22" t="s">
        <v>56</v>
      </c>
      <c r="C14" s="23" t="s">
        <v>57</v>
      </c>
      <c r="D14" s="140">
        <f t="shared" ref="D14:K14" si="11">SUM(D15:D22)</f>
        <v>1074160</v>
      </c>
      <c r="E14" s="140">
        <f t="shared" si="11"/>
        <v>49420</v>
      </c>
      <c r="F14" s="140">
        <f t="shared" si="11"/>
        <v>702493</v>
      </c>
      <c r="G14" s="140">
        <f t="shared" si="11"/>
        <v>63223</v>
      </c>
      <c r="H14" s="107">
        <f t="shared" si="11"/>
        <v>1404.986</v>
      </c>
      <c r="I14" s="107">
        <f t="shared" si="11"/>
        <v>442.57</v>
      </c>
      <c r="J14" s="107">
        <f t="shared" si="11"/>
        <v>25.2892</v>
      </c>
      <c r="K14" s="107">
        <f t="shared" si="11"/>
        <v>1872.8452</v>
      </c>
      <c r="L14" s="107"/>
      <c r="M14" s="107">
        <f t="shared" ref="M14:S14" si="12">SUM(M15:M22)</f>
        <v>1668.93</v>
      </c>
      <c r="N14" s="144">
        <f t="shared" si="12"/>
        <v>200</v>
      </c>
      <c r="O14" s="107">
        <f t="shared" si="12"/>
        <v>175</v>
      </c>
      <c r="P14" s="107">
        <f t="shared" si="12"/>
        <v>70</v>
      </c>
      <c r="Q14" s="107">
        <f t="shared" si="12"/>
        <v>0</v>
      </c>
      <c r="R14" s="107">
        <f t="shared" si="12"/>
        <v>445</v>
      </c>
      <c r="S14" s="107">
        <f t="shared" si="12"/>
        <v>2113.93</v>
      </c>
      <c r="T14" s="144">
        <f t="shared" ref="T14:X14" si="13">SUM(T15:T22)</f>
        <v>200</v>
      </c>
      <c r="U14" s="107">
        <f t="shared" si="13"/>
        <v>175</v>
      </c>
      <c r="V14" s="22"/>
      <c r="W14" s="107"/>
      <c r="X14" s="107">
        <f t="shared" si="13"/>
        <v>8870.6504</v>
      </c>
      <c r="Y14" s="140"/>
      <c r="Z14" s="107">
        <f>SUM(Z15:Z22)</f>
        <v>7920</v>
      </c>
    </row>
    <row r="15" s="4" customFormat="1" ht="18" customHeight="1" spans="1:26">
      <c r="A15" s="22"/>
      <c r="B15" s="22"/>
      <c r="C15" s="10" t="s">
        <v>58</v>
      </c>
      <c r="D15" s="140"/>
      <c r="E15" s="140"/>
      <c r="F15" s="140"/>
      <c r="G15" s="140"/>
      <c r="H15" s="107"/>
      <c r="I15" s="107"/>
      <c r="J15" s="107"/>
      <c r="K15" s="107"/>
      <c r="L15" s="120">
        <v>0.85</v>
      </c>
      <c r="M15" s="107"/>
      <c r="N15" s="145">
        <v>25</v>
      </c>
      <c r="O15" s="107"/>
      <c r="P15" s="22"/>
      <c r="Q15" s="107"/>
      <c r="R15" s="130">
        <f t="shared" ref="R15:R22" si="14">T15+U15+V15+W15</f>
        <v>25</v>
      </c>
      <c r="S15" s="119">
        <f t="shared" ref="S15:S22" si="15">M15+R15</f>
        <v>25</v>
      </c>
      <c r="T15" s="145">
        <v>25</v>
      </c>
      <c r="U15" s="107"/>
      <c r="V15" s="22"/>
      <c r="W15" s="107"/>
      <c r="X15" s="130">
        <f t="shared" ref="X15:X22" si="16">SUM(H15:W15)</f>
        <v>100.85</v>
      </c>
      <c r="Y15" s="120">
        <v>0.85</v>
      </c>
      <c r="Z15" s="130">
        <f t="shared" ref="Z15:Z22" si="17">ROUND(X15*Y15,0)</f>
        <v>86</v>
      </c>
    </row>
    <row r="16" s="1" customFormat="1" ht="18" customHeight="1" spans="1:26">
      <c r="A16" s="10">
        <v>440222</v>
      </c>
      <c r="B16" s="10" t="s">
        <v>56</v>
      </c>
      <c r="C16" s="10" t="s">
        <v>59</v>
      </c>
      <c r="D16" s="87">
        <f>VLOOKUP(C16,[1]摸底数!B:D,3,0)</f>
        <v>122510</v>
      </c>
      <c r="E16" s="87">
        <v>4598</v>
      </c>
      <c r="F16" s="141">
        <f t="shared" ref="F16:F22" si="18">ROUND(D16*0.7-E16,0)</f>
        <v>81159</v>
      </c>
      <c r="G16" s="141">
        <f t="shared" ref="G16:G22" si="19">ROUND(F16*0.09,0)</f>
        <v>7304</v>
      </c>
      <c r="H16" s="142">
        <f t="shared" ref="H16:H22" si="20">F16*20/10000</f>
        <v>162.318</v>
      </c>
      <c r="I16" s="116">
        <f t="shared" ref="I16:I22" si="21">ROUND(F16*0.5*0.6*21/10000,2)</f>
        <v>51.13</v>
      </c>
      <c r="J16" s="116">
        <f t="shared" ref="J16:J22" si="22">G16*0.4*10/10000</f>
        <v>2.9216</v>
      </c>
      <c r="K16" s="116">
        <f t="shared" ref="K16:K22" si="23">H16+I16+J16</f>
        <v>216.3696</v>
      </c>
      <c r="L16" s="120">
        <v>0.85</v>
      </c>
      <c r="M16" s="116">
        <f t="shared" ref="M16:M22" si="24">ROUND(K16*L16,2)</f>
        <v>183.91</v>
      </c>
      <c r="N16" s="145">
        <v>25</v>
      </c>
      <c r="O16" s="116">
        <v>25</v>
      </c>
      <c r="P16" s="10">
        <v>10</v>
      </c>
      <c r="Q16" s="116"/>
      <c r="R16" s="130">
        <f t="shared" si="14"/>
        <v>60</v>
      </c>
      <c r="S16" s="119">
        <f t="shared" si="15"/>
        <v>243.91</v>
      </c>
      <c r="T16" s="145">
        <v>25</v>
      </c>
      <c r="U16" s="116">
        <v>25</v>
      </c>
      <c r="V16" s="10">
        <v>10</v>
      </c>
      <c r="W16" s="116"/>
      <c r="X16" s="130">
        <f t="shared" si="16"/>
        <v>1041.4092</v>
      </c>
      <c r="Y16" s="120">
        <v>0.85</v>
      </c>
      <c r="Z16" s="130">
        <f t="shared" si="17"/>
        <v>885</v>
      </c>
    </row>
    <row r="17" s="1" customFormat="1" ht="18" customHeight="1" spans="1:26">
      <c r="A17" s="10">
        <v>440224</v>
      </c>
      <c r="B17" s="10" t="s">
        <v>56</v>
      </c>
      <c r="C17" s="10" t="s">
        <v>60</v>
      </c>
      <c r="D17" s="87">
        <f>VLOOKUP(C17,[1]摸底数!B:D,3,0)</f>
        <v>120900</v>
      </c>
      <c r="E17" s="87">
        <v>6625</v>
      </c>
      <c r="F17" s="141">
        <f t="shared" si="18"/>
        <v>78005</v>
      </c>
      <c r="G17" s="141">
        <f t="shared" si="19"/>
        <v>7020</v>
      </c>
      <c r="H17" s="142">
        <f t="shared" si="20"/>
        <v>156.01</v>
      </c>
      <c r="I17" s="116">
        <f t="shared" si="21"/>
        <v>49.14</v>
      </c>
      <c r="J17" s="116">
        <f t="shared" si="22"/>
        <v>2.808</v>
      </c>
      <c r="K17" s="116">
        <f t="shared" si="23"/>
        <v>207.958</v>
      </c>
      <c r="L17" s="120">
        <v>0.85</v>
      </c>
      <c r="M17" s="116">
        <f t="shared" si="24"/>
        <v>176.76</v>
      </c>
      <c r="N17" s="145">
        <v>25</v>
      </c>
      <c r="O17" s="116">
        <v>25</v>
      </c>
      <c r="P17" s="10">
        <v>10</v>
      </c>
      <c r="Q17" s="116"/>
      <c r="R17" s="130">
        <f t="shared" si="14"/>
        <v>60</v>
      </c>
      <c r="S17" s="119">
        <f t="shared" si="15"/>
        <v>236.76</v>
      </c>
      <c r="T17" s="145">
        <v>25</v>
      </c>
      <c r="U17" s="116">
        <v>25</v>
      </c>
      <c r="V17" s="10">
        <v>10</v>
      </c>
      <c r="W17" s="116"/>
      <c r="X17" s="130">
        <f t="shared" si="16"/>
        <v>1010.286</v>
      </c>
      <c r="Y17" s="120">
        <v>0.85</v>
      </c>
      <c r="Z17" s="130">
        <f t="shared" si="17"/>
        <v>859</v>
      </c>
    </row>
    <row r="18" s="1" customFormat="1" ht="18" customHeight="1" spans="1:26">
      <c r="A18" s="10">
        <v>440229</v>
      </c>
      <c r="B18" s="10" t="s">
        <v>56</v>
      </c>
      <c r="C18" s="10" t="s">
        <v>61</v>
      </c>
      <c r="D18" s="87">
        <f>VLOOKUP(C18,[1]摸底数!B:D,3,0)</f>
        <v>188220</v>
      </c>
      <c r="E18" s="87">
        <v>7711</v>
      </c>
      <c r="F18" s="141">
        <f t="shared" si="18"/>
        <v>124043</v>
      </c>
      <c r="G18" s="141">
        <f t="shared" si="19"/>
        <v>11164</v>
      </c>
      <c r="H18" s="142">
        <f t="shared" si="20"/>
        <v>248.086</v>
      </c>
      <c r="I18" s="116">
        <f t="shared" si="21"/>
        <v>78.15</v>
      </c>
      <c r="J18" s="116">
        <f t="shared" si="22"/>
        <v>4.4656</v>
      </c>
      <c r="K18" s="116">
        <f t="shared" si="23"/>
        <v>330.7016</v>
      </c>
      <c r="L18" s="120">
        <v>0.85</v>
      </c>
      <c r="M18" s="116">
        <f t="shared" si="24"/>
        <v>281.1</v>
      </c>
      <c r="N18" s="145">
        <v>25</v>
      </c>
      <c r="O18" s="116">
        <v>25</v>
      </c>
      <c r="P18" s="10">
        <v>10</v>
      </c>
      <c r="Q18" s="116"/>
      <c r="R18" s="130">
        <f t="shared" si="14"/>
        <v>60</v>
      </c>
      <c r="S18" s="119">
        <f t="shared" si="15"/>
        <v>341.1</v>
      </c>
      <c r="T18" s="145">
        <v>25</v>
      </c>
      <c r="U18" s="116">
        <v>25</v>
      </c>
      <c r="V18" s="10">
        <v>10</v>
      </c>
      <c r="W18" s="116"/>
      <c r="X18" s="130">
        <f t="shared" si="16"/>
        <v>1464.4532</v>
      </c>
      <c r="Y18" s="120">
        <v>0.85</v>
      </c>
      <c r="Z18" s="130">
        <f t="shared" si="17"/>
        <v>1245</v>
      </c>
    </row>
    <row r="19" s="1" customFormat="1" ht="18" customHeight="1" spans="1:26">
      <c r="A19" s="10">
        <v>440232</v>
      </c>
      <c r="B19" s="10" t="s">
        <v>56</v>
      </c>
      <c r="C19" s="10" t="s">
        <v>62</v>
      </c>
      <c r="D19" s="87">
        <f>VLOOKUP(C19,[1]摸底数!B:D,3,0)</f>
        <v>120021</v>
      </c>
      <c r="E19" s="87">
        <v>10263</v>
      </c>
      <c r="F19" s="141">
        <f t="shared" si="18"/>
        <v>73752</v>
      </c>
      <c r="G19" s="141">
        <f t="shared" si="19"/>
        <v>6638</v>
      </c>
      <c r="H19" s="142">
        <f t="shared" si="20"/>
        <v>147.504</v>
      </c>
      <c r="I19" s="116">
        <f t="shared" si="21"/>
        <v>46.46</v>
      </c>
      <c r="J19" s="116">
        <f t="shared" si="22"/>
        <v>2.6552</v>
      </c>
      <c r="K19" s="116">
        <f t="shared" si="23"/>
        <v>196.6192</v>
      </c>
      <c r="L19" s="120">
        <v>1</v>
      </c>
      <c r="M19" s="116">
        <f t="shared" si="24"/>
        <v>196.62</v>
      </c>
      <c r="N19" s="145">
        <v>25</v>
      </c>
      <c r="O19" s="116">
        <v>25</v>
      </c>
      <c r="P19" s="10">
        <v>10</v>
      </c>
      <c r="Q19" s="116"/>
      <c r="R19" s="130">
        <f t="shared" si="14"/>
        <v>60</v>
      </c>
      <c r="S19" s="119">
        <f t="shared" si="15"/>
        <v>256.62</v>
      </c>
      <c r="T19" s="145">
        <v>25</v>
      </c>
      <c r="U19" s="116">
        <v>25</v>
      </c>
      <c r="V19" s="10">
        <v>10</v>
      </c>
      <c r="W19" s="116"/>
      <c r="X19" s="130">
        <f t="shared" si="16"/>
        <v>1027.4784</v>
      </c>
      <c r="Y19" s="120">
        <v>1</v>
      </c>
      <c r="Z19" s="130">
        <f t="shared" si="17"/>
        <v>1027</v>
      </c>
    </row>
    <row r="20" s="1" customFormat="1" ht="18" customHeight="1" spans="1:26">
      <c r="A20" s="10">
        <v>440233</v>
      </c>
      <c r="B20" s="10" t="s">
        <v>56</v>
      </c>
      <c r="C20" s="10" t="s">
        <v>63</v>
      </c>
      <c r="D20" s="87">
        <f>VLOOKUP(C20,[1]摸底数!B:D,3,0)</f>
        <v>116590</v>
      </c>
      <c r="E20" s="87">
        <v>2266</v>
      </c>
      <c r="F20" s="141">
        <f t="shared" si="18"/>
        <v>79347</v>
      </c>
      <c r="G20" s="141">
        <f t="shared" si="19"/>
        <v>7141</v>
      </c>
      <c r="H20" s="142">
        <f t="shared" si="20"/>
        <v>158.694</v>
      </c>
      <c r="I20" s="116">
        <f t="shared" si="21"/>
        <v>49.99</v>
      </c>
      <c r="J20" s="116">
        <f t="shared" si="22"/>
        <v>2.8564</v>
      </c>
      <c r="K20" s="116">
        <f t="shared" si="23"/>
        <v>211.5404</v>
      </c>
      <c r="L20" s="120">
        <v>0.85</v>
      </c>
      <c r="M20" s="116">
        <f t="shared" si="24"/>
        <v>179.81</v>
      </c>
      <c r="N20" s="145">
        <v>25</v>
      </c>
      <c r="O20" s="116">
        <v>25</v>
      </c>
      <c r="P20" s="10">
        <v>10</v>
      </c>
      <c r="Q20" s="116"/>
      <c r="R20" s="130">
        <f t="shared" si="14"/>
        <v>60</v>
      </c>
      <c r="S20" s="119">
        <f t="shared" si="15"/>
        <v>239.81</v>
      </c>
      <c r="T20" s="145">
        <v>25</v>
      </c>
      <c r="U20" s="116">
        <v>25</v>
      </c>
      <c r="V20" s="10">
        <v>10</v>
      </c>
      <c r="W20" s="116"/>
      <c r="X20" s="130">
        <f t="shared" si="16"/>
        <v>1023.5508</v>
      </c>
      <c r="Y20" s="120">
        <v>0.85</v>
      </c>
      <c r="Z20" s="130">
        <f t="shared" si="17"/>
        <v>870</v>
      </c>
    </row>
    <row r="21" s="1" customFormat="1" ht="18" customHeight="1" spans="1:26">
      <c r="A21" s="10">
        <v>440281</v>
      </c>
      <c r="B21" s="10" t="s">
        <v>56</v>
      </c>
      <c r="C21" s="10" t="s">
        <v>64</v>
      </c>
      <c r="D21" s="87">
        <f>VLOOKUP(C21,[1]摸底数!B:D,3,0)</f>
        <v>223884</v>
      </c>
      <c r="E21" s="87">
        <v>9370</v>
      </c>
      <c r="F21" s="141">
        <f t="shared" si="18"/>
        <v>147349</v>
      </c>
      <c r="G21" s="141">
        <f t="shared" si="19"/>
        <v>13261</v>
      </c>
      <c r="H21" s="142">
        <f t="shared" si="20"/>
        <v>294.698</v>
      </c>
      <c r="I21" s="116">
        <f t="shared" si="21"/>
        <v>92.83</v>
      </c>
      <c r="J21" s="116">
        <f t="shared" si="22"/>
        <v>5.3044</v>
      </c>
      <c r="K21" s="116">
        <f t="shared" si="23"/>
        <v>392.8324</v>
      </c>
      <c r="L21" s="120">
        <v>0.85</v>
      </c>
      <c r="M21" s="116">
        <f t="shared" si="24"/>
        <v>333.91</v>
      </c>
      <c r="N21" s="145">
        <v>25</v>
      </c>
      <c r="O21" s="116">
        <v>25</v>
      </c>
      <c r="P21" s="10">
        <v>10</v>
      </c>
      <c r="Q21" s="116"/>
      <c r="R21" s="130">
        <f t="shared" si="14"/>
        <v>60</v>
      </c>
      <c r="S21" s="119">
        <f t="shared" si="15"/>
        <v>393.91</v>
      </c>
      <c r="T21" s="145">
        <v>25</v>
      </c>
      <c r="U21" s="116">
        <v>25</v>
      </c>
      <c r="V21" s="10">
        <v>10</v>
      </c>
      <c r="W21" s="116"/>
      <c r="X21" s="130">
        <f t="shared" si="16"/>
        <v>1694.3348</v>
      </c>
      <c r="Y21" s="120">
        <v>0.85</v>
      </c>
      <c r="Z21" s="130">
        <f t="shared" si="17"/>
        <v>1440</v>
      </c>
    </row>
    <row r="22" s="1" customFormat="1" ht="18" customHeight="1" spans="1:26">
      <c r="A22" s="10">
        <v>440282</v>
      </c>
      <c r="B22" s="10" t="s">
        <v>56</v>
      </c>
      <c r="C22" s="10" t="s">
        <v>65</v>
      </c>
      <c r="D22" s="87">
        <f>VLOOKUP(C22,[1]摸底数!B:D,3,0)</f>
        <v>182035</v>
      </c>
      <c r="E22" s="87">
        <v>8587</v>
      </c>
      <c r="F22" s="141">
        <f t="shared" si="18"/>
        <v>118838</v>
      </c>
      <c r="G22" s="141">
        <f t="shared" si="19"/>
        <v>10695</v>
      </c>
      <c r="H22" s="142">
        <f t="shared" si="20"/>
        <v>237.676</v>
      </c>
      <c r="I22" s="116">
        <f t="shared" si="21"/>
        <v>74.87</v>
      </c>
      <c r="J22" s="116">
        <f t="shared" si="22"/>
        <v>4.278</v>
      </c>
      <c r="K22" s="116">
        <f t="shared" si="23"/>
        <v>316.824</v>
      </c>
      <c r="L22" s="120">
        <v>1</v>
      </c>
      <c r="M22" s="116">
        <f t="shared" si="24"/>
        <v>316.82</v>
      </c>
      <c r="N22" s="145">
        <v>25</v>
      </c>
      <c r="O22" s="116">
        <v>25</v>
      </c>
      <c r="P22" s="10">
        <v>10</v>
      </c>
      <c r="Q22" s="116"/>
      <c r="R22" s="130">
        <f t="shared" si="14"/>
        <v>60</v>
      </c>
      <c r="S22" s="119">
        <f t="shared" si="15"/>
        <v>376.82</v>
      </c>
      <c r="T22" s="145">
        <v>25</v>
      </c>
      <c r="U22" s="116">
        <v>25</v>
      </c>
      <c r="V22" s="10">
        <v>10</v>
      </c>
      <c r="W22" s="116"/>
      <c r="X22" s="130">
        <f t="shared" si="16"/>
        <v>1508.288</v>
      </c>
      <c r="Y22" s="120">
        <v>1</v>
      </c>
      <c r="Z22" s="130">
        <f t="shared" si="17"/>
        <v>1508</v>
      </c>
    </row>
    <row r="23" s="4" customFormat="1" ht="18" customHeight="1" spans="1:26">
      <c r="A23" s="22">
        <v>440500</v>
      </c>
      <c r="B23" s="22" t="s">
        <v>66</v>
      </c>
      <c r="C23" s="23" t="s">
        <v>67</v>
      </c>
      <c r="D23" s="140">
        <f t="shared" ref="D23:K23" si="25">SUM(D24:D25)</f>
        <v>46196</v>
      </c>
      <c r="E23" s="140">
        <f t="shared" si="25"/>
        <v>712</v>
      </c>
      <c r="F23" s="140">
        <f t="shared" si="25"/>
        <v>31625</v>
      </c>
      <c r="G23" s="140">
        <f t="shared" si="25"/>
        <v>2846</v>
      </c>
      <c r="H23" s="107">
        <f t="shared" si="25"/>
        <v>63.25</v>
      </c>
      <c r="I23" s="107">
        <f t="shared" si="25"/>
        <v>19.92</v>
      </c>
      <c r="J23" s="107">
        <f t="shared" si="25"/>
        <v>1.1384</v>
      </c>
      <c r="K23" s="107">
        <f t="shared" si="25"/>
        <v>84.3084</v>
      </c>
      <c r="L23" s="107"/>
      <c r="M23" s="107">
        <f t="shared" ref="M23:S23" si="26">SUM(M24:M25)</f>
        <v>71.66</v>
      </c>
      <c r="N23" s="144">
        <f t="shared" si="26"/>
        <v>50</v>
      </c>
      <c r="O23" s="107">
        <f t="shared" si="26"/>
        <v>25</v>
      </c>
      <c r="P23" s="107">
        <f t="shared" si="26"/>
        <v>10</v>
      </c>
      <c r="Q23" s="107">
        <f t="shared" si="26"/>
        <v>0</v>
      </c>
      <c r="R23" s="107">
        <f t="shared" si="26"/>
        <v>85</v>
      </c>
      <c r="S23" s="107">
        <f t="shared" si="26"/>
        <v>156.66</v>
      </c>
      <c r="T23" s="144">
        <f t="shared" ref="T23:X23" si="27">SUM(T24:T25)</f>
        <v>50</v>
      </c>
      <c r="U23" s="107">
        <f t="shared" si="27"/>
        <v>25</v>
      </c>
      <c r="V23" s="22"/>
      <c r="W23" s="107"/>
      <c r="X23" s="107">
        <f t="shared" si="27"/>
        <v>653.6368</v>
      </c>
      <c r="Y23" s="140"/>
      <c r="Z23" s="107">
        <f>SUM(Z24:Z25)</f>
        <v>556</v>
      </c>
    </row>
    <row r="24" s="4" customFormat="1" ht="18" customHeight="1" spans="1:26">
      <c r="A24" s="22"/>
      <c r="B24" s="22"/>
      <c r="C24" s="10" t="s">
        <v>58</v>
      </c>
      <c r="D24" s="140"/>
      <c r="E24" s="140"/>
      <c r="F24" s="140"/>
      <c r="G24" s="140"/>
      <c r="H24" s="107"/>
      <c r="I24" s="107"/>
      <c r="J24" s="107"/>
      <c r="K24" s="107"/>
      <c r="L24" s="120">
        <v>0.85</v>
      </c>
      <c r="M24" s="107"/>
      <c r="N24" s="145">
        <v>25</v>
      </c>
      <c r="O24" s="107"/>
      <c r="P24" s="22"/>
      <c r="Q24" s="107"/>
      <c r="R24" s="130">
        <f t="shared" ref="R24:R31" si="28">T24+U24+V24+W24</f>
        <v>25</v>
      </c>
      <c r="S24" s="119">
        <f t="shared" ref="S24:S31" si="29">M24+R24</f>
        <v>25</v>
      </c>
      <c r="T24" s="145">
        <v>25</v>
      </c>
      <c r="U24" s="107"/>
      <c r="V24" s="22"/>
      <c r="W24" s="107"/>
      <c r="X24" s="130">
        <f t="shared" ref="X24:X31" si="30">SUM(H24:W24)</f>
        <v>100.85</v>
      </c>
      <c r="Y24" s="120">
        <v>0.85</v>
      </c>
      <c r="Z24" s="130">
        <f t="shared" ref="Z24:Z31" si="31">ROUND(X24*Y24,0)</f>
        <v>86</v>
      </c>
    </row>
    <row r="25" s="1" customFormat="1" ht="18" customHeight="1" spans="1:26">
      <c r="A25" s="10">
        <v>440523</v>
      </c>
      <c r="B25" s="10" t="s">
        <v>66</v>
      </c>
      <c r="C25" s="10" t="s">
        <v>68</v>
      </c>
      <c r="D25" s="87">
        <f>VLOOKUP(C25,[1]摸底数!B:D,3,0)</f>
        <v>46196</v>
      </c>
      <c r="E25" s="87">
        <v>712</v>
      </c>
      <c r="F25" s="141">
        <f t="shared" ref="F25:F31" si="32">ROUND(D25*0.7-E25,0)</f>
        <v>31625</v>
      </c>
      <c r="G25" s="141">
        <f t="shared" ref="G25:G31" si="33">ROUND(F25*0.09,0)</f>
        <v>2846</v>
      </c>
      <c r="H25" s="142">
        <f t="shared" ref="H25:H31" si="34">F25*20/10000</f>
        <v>63.25</v>
      </c>
      <c r="I25" s="116">
        <f t="shared" ref="I25:I31" si="35">ROUND(F25*0.5*0.6*21/10000,2)</f>
        <v>19.92</v>
      </c>
      <c r="J25" s="116">
        <f t="shared" ref="J25:J31" si="36">G25*0.4*10/10000</f>
        <v>1.1384</v>
      </c>
      <c r="K25" s="116">
        <f t="shared" ref="K25:K31" si="37">H25+I25+J25</f>
        <v>84.3084</v>
      </c>
      <c r="L25" s="120">
        <v>0.85</v>
      </c>
      <c r="M25" s="116">
        <f t="shared" ref="M25:M31" si="38">ROUND(K25*L25,2)</f>
        <v>71.66</v>
      </c>
      <c r="N25" s="145">
        <v>25</v>
      </c>
      <c r="O25" s="116">
        <v>25</v>
      </c>
      <c r="P25" s="10">
        <v>10</v>
      </c>
      <c r="Q25" s="116"/>
      <c r="R25" s="130">
        <f t="shared" si="28"/>
        <v>60</v>
      </c>
      <c r="S25" s="119">
        <f t="shared" si="29"/>
        <v>131.66</v>
      </c>
      <c r="T25" s="145">
        <v>25</v>
      </c>
      <c r="U25" s="116">
        <v>25</v>
      </c>
      <c r="V25" s="10">
        <v>10</v>
      </c>
      <c r="W25" s="116"/>
      <c r="X25" s="130">
        <f t="shared" si="30"/>
        <v>552.7868</v>
      </c>
      <c r="Y25" s="120">
        <v>0.85</v>
      </c>
      <c r="Z25" s="130">
        <f t="shared" si="31"/>
        <v>470</v>
      </c>
    </row>
    <row r="26" s="4" customFormat="1" ht="18" customHeight="1" spans="1:26">
      <c r="A26" s="22">
        <v>440700</v>
      </c>
      <c r="B26" s="22" t="s">
        <v>69</v>
      </c>
      <c r="C26" s="23" t="s">
        <v>70</v>
      </c>
      <c r="D26" s="140">
        <f t="shared" ref="D26:K26" si="39">SUM(D27:D31)</f>
        <v>1910085</v>
      </c>
      <c r="E26" s="140">
        <f t="shared" si="39"/>
        <v>135514</v>
      </c>
      <c r="F26" s="140">
        <f t="shared" si="39"/>
        <v>1201546</v>
      </c>
      <c r="G26" s="140">
        <f t="shared" si="39"/>
        <v>108140</v>
      </c>
      <c r="H26" s="107">
        <f t="shared" si="39"/>
        <v>2403.092</v>
      </c>
      <c r="I26" s="107">
        <f t="shared" si="39"/>
        <v>756.97</v>
      </c>
      <c r="J26" s="107">
        <f t="shared" si="39"/>
        <v>43.256</v>
      </c>
      <c r="K26" s="107">
        <f t="shared" si="39"/>
        <v>3203.318</v>
      </c>
      <c r="L26" s="107"/>
      <c r="M26" s="107">
        <f t="shared" ref="M26:S26" si="40">SUM(M27:M31)</f>
        <v>2082.15</v>
      </c>
      <c r="N26" s="144">
        <f t="shared" si="40"/>
        <v>125</v>
      </c>
      <c r="O26" s="107">
        <f t="shared" si="40"/>
        <v>100</v>
      </c>
      <c r="P26" s="107">
        <f t="shared" si="40"/>
        <v>40</v>
      </c>
      <c r="Q26" s="107">
        <f t="shared" si="40"/>
        <v>0</v>
      </c>
      <c r="R26" s="107">
        <f t="shared" si="40"/>
        <v>265</v>
      </c>
      <c r="S26" s="107">
        <f t="shared" si="40"/>
        <v>2347.15</v>
      </c>
      <c r="T26" s="144">
        <f t="shared" ref="T26:X26" si="41">SUM(T27:T31)</f>
        <v>125</v>
      </c>
      <c r="U26" s="107">
        <f t="shared" si="41"/>
        <v>100</v>
      </c>
      <c r="V26" s="22"/>
      <c r="W26" s="107"/>
      <c r="X26" s="107">
        <f t="shared" si="41"/>
        <v>11633.536</v>
      </c>
      <c r="Y26" s="140"/>
      <c r="Z26" s="107">
        <f>SUM(Z27:Z31)</f>
        <v>7497</v>
      </c>
    </row>
    <row r="27" s="4" customFormat="1" ht="18" customHeight="1" spans="1:26">
      <c r="A27" s="22"/>
      <c r="B27" s="22"/>
      <c r="C27" s="10" t="s">
        <v>58</v>
      </c>
      <c r="D27" s="140"/>
      <c r="E27" s="140"/>
      <c r="F27" s="140"/>
      <c r="G27" s="140"/>
      <c r="H27" s="107"/>
      <c r="I27" s="107"/>
      <c r="J27" s="107"/>
      <c r="K27" s="107"/>
      <c r="L27" s="122">
        <v>0</v>
      </c>
      <c r="M27" s="107"/>
      <c r="N27" s="145">
        <v>25</v>
      </c>
      <c r="O27" s="107"/>
      <c r="P27" s="22"/>
      <c r="Q27" s="107"/>
      <c r="R27" s="130">
        <f t="shared" si="28"/>
        <v>25</v>
      </c>
      <c r="S27" s="119">
        <f t="shared" si="29"/>
        <v>25</v>
      </c>
      <c r="T27" s="145">
        <v>25</v>
      </c>
      <c r="U27" s="107"/>
      <c r="V27" s="22"/>
      <c r="W27" s="107"/>
      <c r="X27" s="130">
        <f t="shared" si="30"/>
        <v>100</v>
      </c>
      <c r="Y27" s="122">
        <v>0</v>
      </c>
      <c r="Z27" s="130">
        <f t="shared" si="31"/>
        <v>0</v>
      </c>
    </row>
    <row r="28" s="1" customFormat="1" ht="18" customHeight="1" spans="1:26">
      <c r="A28" s="10">
        <v>440781</v>
      </c>
      <c r="B28" s="10" t="s">
        <v>69</v>
      </c>
      <c r="C28" s="10" t="s">
        <v>71</v>
      </c>
      <c r="D28" s="87">
        <f>VLOOKUP(C28,[1]摸底数!B:D,3,0)</f>
        <v>648417</v>
      </c>
      <c r="E28" s="87">
        <v>33006</v>
      </c>
      <c r="F28" s="141">
        <f t="shared" si="32"/>
        <v>420886</v>
      </c>
      <c r="G28" s="141">
        <f t="shared" si="33"/>
        <v>37880</v>
      </c>
      <c r="H28" s="142">
        <f t="shared" si="34"/>
        <v>841.772</v>
      </c>
      <c r="I28" s="116">
        <f t="shared" si="35"/>
        <v>265.16</v>
      </c>
      <c r="J28" s="116">
        <f t="shared" si="36"/>
        <v>15.152</v>
      </c>
      <c r="K28" s="116">
        <f t="shared" si="37"/>
        <v>1122.084</v>
      </c>
      <c r="L28" s="120">
        <v>0.65</v>
      </c>
      <c r="M28" s="116">
        <f t="shared" si="38"/>
        <v>729.35</v>
      </c>
      <c r="N28" s="145">
        <v>25</v>
      </c>
      <c r="O28" s="116">
        <v>25</v>
      </c>
      <c r="P28" s="10">
        <v>10</v>
      </c>
      <c r="Q28" s="116"/>
      <c r="R28" s="130">
        <f t="shared" si="28"/>
        <v>60</v>
      </c>
      <c r="S28" s="119">
        <f t="shared" si="29"/>
        <v>789.35</v>
      </c>
      <c r="T28" s="145">
        <v>25</v>
      </c>
      <c r="U28" s="116">
        <v>25</v>
      </c>
      <c r="V28" s="10">
        <v>10</v>
      </c>
      <c r="W28" s="116"/>
      <c r="X28" s="130">
        <f t="shared" si="30"/>
        <v>3943.518</v>
      </c>
      <c r="Y28" s="120">
        <v>0.65</v>
      </c>
      <c r="Z28" s="130">
        <f t="shared" si="31"/>
        <v>2563</v>
      </c>
    </row>
    <row r="29" s="1" customFormat="1" ht="18" customHeight="1" spans="1:26">
      <c r="A29" s="10">
        <v>440783</v>
      </c>
      <c r="B29" s="10" t="s">
        <v>69</v>
      </c>
      <c r="C29" s="10" t="s">
        <v>72</v>
      </c>
      <c r="D29" s="87">
        <f>VLOOKUP(C29,[1]摸底数!B:D,3,0)</f>
        <v>521740</v>
      </c>
      <c r="E29" s="87">
        <v>48264</v>
      </c>
      <c r="F29" s="141">
        <f t="shared" si="32"/>
        <v>316954</v>
      </c>
      <c r="G29" s="141">
        <f t="shared" si="33"/>
        <v>28526</v>
      </c>
      <c r="H29" s="142">
        <f t="shared" si="34"/>
        <v>633.908</v>
      </c>
      <c r="I29" s="116">
        <f t="shared" si="35"/>
        <v>199.68</v>
      </c>
      <c r="J29" s="116">
        <f t="shared" si="36"/>
        <v>11.4104</v>
      </c>
      <c r="K29" s="116">
        <f t="shared" si="37"/>
        <v>844.9984</v>
      </c>
      <c r="L29" s="120">
        <v>0.65</v>
      </c>
      <c r="M29" s="116">
        <f t="shared" si="38"/>
        <v>549.25</v>
      </c>
      <c r="N29" s="145">
        <v>25</v>
      </c>
      <c r="O29" s="116">
        <v>25</v>
      </c>
      <c r="P29" s="10">
        <v>10</v>
      </c>
      <c r="Q29" s="116"/>
      <c r="R29" s="130">
        <f t="shared" si="28"/>
        <v>60</v>
      </c>
      <c r="S29" s="119">
        <f t="shared" si="29"/>
        <v>609.25</v>
      </c>
      <c r="T29" s="145">
        <v>25</v>
      </c>
      <c r="U29" s="116">
        <v>25</v>
      </c>
      <c r="V29" s="10">
        <v>10</v>
      </c>
      <c r="W29" s="116"/>
      <c r="X29" s="130">
        <f t="shared" si="30"/>
        <v>3029.1468</v>
      </c>
      <c r="Y29" s="120">
        <v>0.65</v>
      </c>
      <c r="Z29" s="130">
        <f t="shared" si="31"/>
        <v>1969</v>
      </c>
    </row>
    <row r="30" s="1" customFormat="1" ht="18" customHeight="1" spans="1:26">
      <c r="A30" s="10">
        <v>440784</v>
      </c>
      <c r="B30" s="10" t="s">
        <v>69</v>
      </c>
      <c r="C30" s="10" t="s">
        <v>73</v>
      </c>
      <c r="D30" s="87">
        <f>VLOOKUP(C30,[1]摸底数!B:D,3,0)</f>
        <v>391945</v>
      </c>
      <c r="E30" s="87">
        <v>22155</v>
      </c>
      <c r="F30" s="141">
        <f t="shared" si="32"/>
        <v>252207</v>
      </c>
      <c r="G30" s="141">
        <f t="shared" si="33"/>
        <v>22699</v>
      </c>
      <c r="H30" s="142">
        <f t="shared" si="34"/>
        <v>504.414</v>
      </c>
      <c r="I30" s="116">
        <f t="shared" si="35"/>
        <v>158.89</v>
      </c>
      <c r="J30" s="116">
        <f t="shared" si="36"/>
        <v>9.0796</v>
      </c>
      <c r="K30" s="116">
        <f t="shared" si="37"/>
        <v>672.3836</v>
      </c>
      <c r="L30" s="120">
        <v>0.65</v>
      </c>
      <c r="M30" s="116">
        <f t="shared" si="38"/>
        <v>437.05</v>
      </c>
      <c r="N30" s="145">
        <v>25</v>
      </c>
      <c r="O30" s="116">
        <v>25</v>
      </c>
      <c r="P30" s="10">
        <v>10</v>
      </c>
      <c r="Q30" s="116"/>
      <c r="R30" s="130">
        <f t="shared" si="28"/>
        <v>60</v>
      </c>
      <c r="S30" s="119">
        <f t="shared" si="29"/>
        <v>497.05</v>
      </c>
      <c r="T30" s="145">
        <v>25</v>
      </c>
      <c r="U30" s="116">
        <v>25</v>
      </c>
      <c r="V30" s="10">
        <v>10</v>
      </c>
      <c r="W30" s="116"/>
      <c r="X30" s="130">
        <f t="shared" si="30"/>
        <v>2459.5172</v>
      </c>
      <c r="Y30" s="120">
        <v>0.65</v>
      </c>
      <c r="Z30" s="130">
        <f t="shared" si="31"/>
        <v>1599</v>
      </c>
    </row>
    <row r="31" s="1" customFormat="1" ht="18" customHeight="1" spans="1:26">
      <c r="A31" s="10">
        <v>440785</v>
      </c>
      <c r="B31" s="10" t="s">
        <v>69</v>
      </c>
      <c r="C31" s="10" t="s">
        <v>74</v>
      </c>
      <c r="D31" s="87">
        <f>VLOOKUP(C31,[1]摸底数!B:D,3,0)</f>
        <v>347983</v>
      </c>
      <c r="E31" s="87">
        <v>32089</v>
      </c>
      <c r="F31" s="141">
        <f t="shared" si="32"/>
        <v>211499</v>
      </c>
      <c r="G31" s="141">
        <f t="shared" si="33"/>
        <v>19035</v>
      </c>
      <c r="H31" s="142">
        <f t="shared" si="34"/>
        <v>422.998</v>
      </c>
      <c r="I31" s="116">
        <f t="shared" si="35"/>
        <v>133.24</v>
      </c>
      <c r="J31" s="116">
        <f t="shared" si="36"/>
        <v>7.614</v>
      </c>
      <c r="K31" s="116">
        <f t="shared" si="37"/>
        <v>563.852</v>
      </c>
      <c r="L31" s="120">
        <v>0.65</v>
      </c>
      <c r="M31" s="116">
        <f t="shared" si="38"/>
        <v>366.5</v>
      </c>
      <c r="N31" s="145">
        <v>25</v>
      </c>
      <c r="O31" s="116">
        <v>25</v>
      </c>
      <c r="P31" s="10">
        <v>10</v>
      </c>
      <c r="Q31" s="116"/>
      <c r="R31" s="130">
        <f t="shared" si="28"/>
        <v>60</v>
      </c>
      <c r="S31" s="119">
        <f t="shared" si="29"/>
        <v>426.5</v>
      </c>
      <c r="T31" s="145">
        <v>25</v>
      </c>
      <c r="U31" s="116">
        <v>25</v>
      </c>
      <c r="V31" s="10">
        <v>10</v>
      </c>
      <c r="W31" s="116"/>
      <c r="X31" s="130">
        <f t="shared" si="30"/>
        <v>2101.354</v>
      </c>
      <c r="Y31" s="120">
        <v>0.65</v>
      </c>
      <c r="Z31" s="130">
        <f t="shared" si="31"/>
        <v>1366</v>
      </c>
    </row>
    <row r="32" s="4" customFormat="1" ht="18" customHeight="1" spans="1:26">
      <c r="A32" s="22">
        <v>440800</v>
      </c>
      <c r="B32" s="22" t="s">
        <v>75</v>
      </c>
      <c r="C32" s="23" t="s">
        <v>76</v>
      </c>
      <c r="D32" s="140">
        <f t="shared" ref="D32:K32" si="42">SUM(D33:D38)</f>
        <v>3079356</v>
      </c>
      <c r="E32" s="140">
        <f t="shared" si="42"/>
        <v>135836</v>
      </c>
      <c r="F32" s="140">
        <f t="shared" si="42"/>
        <v>2019713</v>
      </c>
      <c r="G32" s="140">
        <f t="shared" si="42"/>
        <v>181774</v>
      </c>
      <c r="H32" s="107">
        <f t="shared" si="42"/>
        <v>4039.426</v>
      </c>
      <c r="I32" s="107">
        <f t="shared" si="42"/>
        <v>1272.43</v>
      </c>
      <c r="J32" s="107">
        <f t="shared" si="42"/>
        <v>72.7096</v>
      </c>
      <c r="K32" s="107">
        <f t="shared" si="42"/>
        <v>5384.5656</v>
      </c>
      <c r="L32" s="107"/>
      <c r="M32" s="107">
        <f t="shared" ref="M32:S32" si="43">SUM(M33:M38)</f>
        <v>4576.89</v>
      </c>
      <c r="N32" s="144">
        <f t="shared" si="43"/>
        <v>150</v>
      </c>
      <c r="O32" s="107">
        <f t="shared" si="43"/>
        <v>125</v>
      </c>
      <c r="P32" s="107">
        <f t="shared" si="43"/>
        <v>50</v>
      </c>
      <c r="Q32" s="107">
        <f t="shared" si="43"/>
        <v>0</v>
      </c>
      <c r="R32" s="107">
        <f t="shared" si="43"/>
        <v>325</v>
      </c>
      <c r="S32" s="107">
        <f t="shared" si="43"/>
        <v>4901.89</v>
      </c>
      <c r="T32" s="144">
        <f t="shared" ref="T32:X32" si="44">SUM(T33:T38)</f>
        <v>150</v>
      </c>
      <c r="U32" s="107">
        <f t="shared" si="44"/>
        <v>125</v>
      </c>
      <c r="V32" s="22"/>
      <c r="W32" s="107"/>
      <c r="X32" s="107">
        <f t="shared" si="44"/>
        <v>21228.0112</v>
      </c>
      <c r="Y32" s="140"/>
      <c r="Z32" s="107">
        <f>SUM(Z33:Z38)</f>
        <v>18044</v>
      </c>
    </row>
    <row r="33" s="4" customFormat="1" ht="18" customHeight="1" spans="1:26">
      <c r="A33" s="22"/>
      <c r="B33" s="22"/>
      <c r="C33" s="10" t="s">
        <v>58</v>
      </c>
      <c r="D33" s="140"/>
      <c r="E33" s="140"/>
      <c r="F33" s="140"/>
      <c r="G33" s="140"/>
      <c r="H33" s="107"/>
      <c r="I33" s="107"/>
      <c r="J33" s="107"/>
      <c r="K33" s="107"/>
      <c r="L33" s="120">
        <v>0.85</v>
      </c>
      <c r="M33" s="107"/>
      <c r="N33" s="145">
        <v>25</v>
      </c>
      <c r="O33" s="107"/>
      <c r="P33" s="22"/>
      <c r="Q33" s="107"/>
      <c r="R33" s="130">
        <f t="shared" ref="R33:R38" si="45">T33+U33+V33+W33</f>
        <v>25</v>
      </c>
      <c r="S33" s="119">
        <f t="shared" ref="S33:S38" si="46">M33+R33</f>
        <v>25</v>
      </c>
      <c r="T33" s="145">
        <v>25</v>
      </c>
      <c r="U33" s="107"/>
      <c r="V33" s="22"/>
      <c r="W33" s="107"/>
      <c r="X33" s="130">
        <f t="shared" ref="X33:X38" si="47">SUM(H33:W33)</f>
        <v>100.85</v>
      </c>
      <c r="Y33" s="120">
        <v>0.85</v>
      </c>
      <c r="Z33" s="130">
        <f t="shared" ref="Z33:Z38" si="48">ROUND(X33*Y33,0)</f>
        <v>86</v>
      </c>
    </row>
    <row r="34" s="1" customFormat="1" ht="18" customHeight="1" spans="1:26">
      <c r="A34" s="10">
        <v>440823</v>
      </c>
      <c r="B34" s="10" t="s">
        <v>75</v>
      </c>
      <c r="C34" s="10" t="s">
        <v>77</v>
      </c>
      <c r="D34" s="87">
        <f>VLOOKUP(C34,[1]摸底数!B:D,3,0)</f>
        <v>497405</v>
      </c>
      <c r="E34" s="87">
        <v>18499</v>
      </c>
      <c r="F34" s="141">
        <f t="shared" ref="F34:F38" si="49">ROUND(D34*0.7-E34,0)</f>
        <v>329685</v>
      </c>
      <c r="G34" s="141">
        <f t="shared" ref="G34:G38" si="50">ROUND(F34*0.09,0)</f>
        <v>29672</v>
      </c>
      <c r="H34" s="142">
        <f t="shared" ref="H34:H38" si="51">F34*20/10000</f>
        <v>659.37</v>
      </c>
      <c r="I34" s="116">
        <f t="shared" ref="I34:I38" si="52">ROUND(F34*0.5*0.6*21/10000,2)</f>
        <v>207.7</v>
      </c>
      <c r="J34" s="116">
        <f t="shared" ref="J34:J38" si="53">G34*0.4*10/10000</f>
        <v>11.8688</v>
      </c>
      <c r="K34" s="116">
        <f t="shared" ref="K34:K38" si="54">H34+I34+J34</f>
        <v>878.9388</v>
      </c>
      <c r="L34" s="120">
        <v>0.85</v>
      </c>
      <c r="M34" s="116">
        <f t="shared" ref="M34:M38" si="55">ROUND(K34*L34,2)</f>
        <v>747.1</v>
      </c>
      <c r="N34" s="145">
        <v>25</v>
      </c>
      <c r="O34" s="116">
        <v>25</v>
      </c>
      <c r="P34" s="10">
        <v>10</v>
      </c>
      <c r="Q34" s="116"/>
      <c r="R34" s="130">
        <f t="shared" si="45"/>
        <v>60</v>
      </c>
      <c r="S34" s="119">
        <f t="shared" si="46"/>
        <v>807.1</v>
      </c>
      <c r="T34" s="145">
        <v>25</v>
      </c>
      <c r="U34" s="116">
        <v>25</v>
      </c>
      <c r="V34" s="10">
        <v>10</v>
      </c>
      <c r="W34" s="116"/>
      <c r="X34" s="130">
        <f t="shared" si="47"/>
        <v>3492.9276</v>
      </c>
      <c r="Y34" s="120">
        <v>0.85</v>
      </c>
      <c r="Z34" s="130">
        <f t="shared" si="48"/>
        <v>2969</v>
      </c>
    </row>
    <row r="35" s="1" customFormat="1" ht="18" customHeight="1" spans="1:26">
      <c r="A35" s="10">
        <v>440825</v>
      </c>
      <c r="B35" s="10" t="s">
        <v>75</v>
      </c>
      <c r="C35" s="10" t="s">
        <v>78</v>
      </c>
      <c r="D35" s="87">
        <f>VLOOKUP(C35,[1]摸底数!B:D,3,0)</f>
        <v>454269</v>
      </c>
      <c r="E35" s="87">
        <v>18583</v>
      </c>
      <c r="F35" s="141">
        <f t="shared" si="49"/>
        <v>299405</v>
      </c>
      <c r="G35" s="141">
        <f t="shared" si="50"/>
        <v>26946</v>
      </c>
      <c r="H35" s="142">
        <f t="shared" si="51"/>
        <v>598.81</v>
      </c>
      <c r="I35" s="116">
        <f t="shared" si="52"/>
        <v>188.63</v>
      </c>
      <c r="J35" s="116">
        <f t="shared" si="53"/>
        <v>10.7784</v>
      </c>
      <c r="K35" s="116">
        <f t="shared" si="54"/>
        <v>798.2184</v>
      </c>
      <c r="L35" s="120">
        <v>0.85</v>
      </c>
      <c r="M35" s="116">
        <f t="shared" si="55"/>
        <v>678.49</v>
      </c>
      <c r="N35" s="145">
        <v>25</v>
      </c>
      <c r="O35" s="116">
        <v>25</v>
      </c>
      <c r="P35" s="10">
        <v>10</v>
      </c>
      <c r="Q35" s="116"/>
      <c r="R35" s="130">
        <f t="shared" si="45"/>
        <v>60</v>
      </c>
      <c r="S35" s="119">
        <f t="shared" si="46"/>
        <v>738.49</v>
      </c>
      <c r="T35" s="145">
        <v>25</v>
      </c>
      <c r="U35" s="116">
        <v>25</v>
      </c>
      <c r="V35" s="10">
        <v>10</v>
      </c>
      <c r="W35" s="116"/>
      <c r="X35" s="130">
        <f t="shared" si="47"/>
        <v>3194.2668</v>
      </c>
      <c r="Y35" s="120">
        <v>0.85</v>
      </c>
      <c r="Z35" s="130">
        <f t="shared" si="48"/>
        <v>2715</v>
      </c>
    </row>
    <row r="36" s="1" customFormat="1" ht="18" customHeight="1" spans="1:26">
      <c r="A36" s="10">
        <v>440881</v>
      </c>
      <c r="B36" s="10" t="s">
        <v>75</v>
      </c>
      <c r="C36" s="10" t="s">
        <v>79</v>
      </c>
      <c r="D36" s="87">
        <f>VLOOKUP(C36,[1]摸底数!B:D,3,0)</f>
        <v>801879</v>
      </c>
      <c r="E36" s="87">
        <v>28973</v>
      </c>
      <c r="F36" s="141">
        <f t="shared" si="49"/>
        <v>532342</v>
      </c>
      <c r="G36" s="141">
        <f t="shared" si="50"/>
        <v>47911</v>
      </c>
      <c r="H36" s="142">
        <f t="shared" si="51"/>
        <v>1064.684</v>
      </c>
      <c r="I36" s="116">
        <f t="shared" si="52"/>
        <v>335.38</v>
      </c>
      <c r="J36" s="116">
        <f t="shared" si="53"/>
        <v>19.1644</v>
      </c>
      <c r="K36" s="116">
        <f t="shared" si="54"/>
        <v>1419.2284</v>
      </c>
      <c r="L36" s="120">
        <v>0.85</v>
      </c>
      <c r="M36" s="116">
        <f t="shared" si="55"/>
        <v>1206.34</v>
      </c>
      <c r="N36" s="145">
        <v>25</v>
      </c>
      <c r="O36" s="116">
        <v>25</v>
      </c>
      <c r="P36" s="10">
        <v>10</v>
      </c>
      <c r="Q36" s="116"/>
      <c r="R36" s="130">
        <f t="shared" si="45"/>
        <v>60</v>
      </c>
      <c r="S36" s="119">
        <f t="shared" si="46"/>
        <v>1266.34</v>
      </c>
      <c r="T36" s="145">
        <v>25</v>
      </c>
      <c r="U36" s="116">
        <v>25</v>
      </c>
      <c r="V36" s="10">
        <v>10</v>
      </c>
      <c r="W36" s="116"/>
      <c r="X36" s="130">
        <f t="shared" si="47"/>
        <v>5491.9868</v>
      </c>
      <c r="Y36" s="120">
        <v>0.85</v>
      </c>
      <c r="Z36" s="130">
        <f t="shared" si="48"/>
        <v>4668</v>
      </c>
    </row>
    <row r="37" s="1" customFormat="1" ht="18" customHeight="1" spans="1:26">
      <c r="A37" s="10">
        <v>440882</v>
      </c>
      <c r="B37" s="10" t="s">
        <v>75</v>
      </c>
      <c r="C37" s="10" t="s">
        <v>80</v>
      </c>
      <c r="D37" s="87">
        <f>VLOOKUP(C37,[1]摸底数!B:D,3,0)</f>
        <v>775857</v>
      </c>
      <c r="E37" s="87">
        <v>16123</v>
      </c>
      <c r="F37" s="141">
        <f t="shared" si="49"/>
        <v>526977</v>
      </c>
      <c r="G37" s="141">
        <f t="shared" si="50"/>
        <v>47428</v>
      </c>
      <c r="H37" s="142">
        <f t="shared" si="51"/>
        <v>1053.954</v>
      </c>
      <c r="I37" s="116">
        <f t="shared" si="52"/>
        <v>332</v>
      </c>
      <c r="J37" s="116">
        <f t="shared" si="53"/>
        <v>18.9712</v>
      </c>
      <c r="K37" s="116">
        <f t="shared" si="54"/>
        <v>1404.9252</v>
      </c>
      <c r="L37" s="120">
        <v>0.85</v>
      </c>
      <c r="M37" s="116">
        <f t="shared" si="55"/>
        <v>1194.19</v>
      </c>
      <c r="N37" s="145">
        <v>25</v>
      </c>
      <c r="O37" s="116">
        <v>25</v>
      </c>
      <c r="P37" s="10">
        <v>10</v>
      </c>
      <c r="Q37" s="116"/>
      <c r="R37" s="130">
        <f t="shared" si="45"/>
        <v>60</v>
      </c>
      <c r="S37" s="119">
        <f t="shared" si="46"/>
        <v>1254.19</v>
      </c>
      <c r="T37" s="145">
        <v>25</v>
      </c>
      <c r="U37" s="116">
        <v>25</v>
      </c>
      <c r="V37" s="10">
        <v>10</v>
      </c>
      <c r="W37" s="116"/>
      <c r="X37" s="130">
        <f t="shared" si="47"/>
        <v>5439.0804</v>
      </c>
      <c r="Y37" s="120">
        <v>0.85</v>
      </c>
      <c r="Z37" s="130">
        <f t="shared" si="48"/>
        <v>4623</v>
      </c>
    </row>
    <row r="38" s="1" customFormat="1" ht="18" customHeight="1" spans="1:26">
      <c r="A38" s="10">
        <v>440883</v>
      </c>
      <c r="B38" s="10" t="s">
        <v>75</v>
      </c>
      <c r="C38" s="10" t="s">
        <v>81</v>
      </c>
      <c r="D38" s="87">
        <f>VLOOKUP(C38,[1]摸底数!B:D,3,0)</f>
        <v>549946</v>
      </c>
      <c r="E38" s="87">
        <v>53658</v>
      </c>
      <c r="F38" s="141">
        <f t="shared" si="49"/>
        <v>331304</v>
      </c>
      <c r="G38" s="141">
        <f t="shared" si="50"/>
        <v>29817</v>
      </c>
      <c r="H38" s="142">
        <f t="shared" si="51"/>
        <v>662.608</v>
      </c>
      <c r="I38" s="116">
        <f t="shared" si="52"/>
        <v>208.72</v>
      </c>
      <c r="J38" s="116">
        <f t="shared" si="53"/>
        <v>11.9268</v>
      </c>
      <c r="K38" s="116">
        <f t="shared" si="54"/>
        <v>883.2548</v>
      </c>
      <c r="L38" s="120">
        <v>0.85</v>
      </c>
      <c r="M38" s="116">
        <f t="shared" si="55"/>
        <v>750.77</v>
      </c>
      <c r="N38" s="145">
        <v>25</v>
      </c>
      <c r="O38" s="116">
        <v>25</v>
      </c>
      <c r="P38" s="10">
        <v>10</v>
      </c>
      <c r="Q38" s="116"/>
      <c r="R38" s="130">
        <f t="shared" si="45"/>
        <v>60</v>
      </c>
      <c r="S38" s="119">
        <f t="shared" si="46"/>
        <v>810.77</v>
      </c>
      <c r="T38" s="145">
        <v>25</v>
      </c>
      <c r="U38" s="116">
        <v>25</v>
      </c>
      <c r="V38" s="10">
        <v>10</v>
      </c>
      <c r="W38" s="116"/>
      <c r="X38" s="130">
        <f t="shared" si="47"/>
        <v>3508.8996</v>
      </c>
      <c r="Y38" s="120">
        <v>0.85</v>
      </c>
      <c r="Z38" s="130">
        <f t="shared" si="48"/>
        <v>2983</v>
      </c>
    </row>
    <row r="39" s="4" customFormat="1" ht="18" customHeight="1" spans="1:26">
      <c r="A39" s="22">
        <v>440900</v>
      </c>
      <c r="B39" s="22" t="s">
        <v>82</v>
      </c>
      <c r="C39" s="23" t="s">
        <v>83</v>
      </c>
      <c r="D39" s="140">
        <f t="shared" ref="D39:K39" si="56">SUM(D40:D43)</f>
        <v>1860263</v>
      </c>
      <c r="E39" s="140">
        <f t="shared" si="56"/>
        <v>80589</v>
      </c>
      <c r="F39" s="140">
        <f t="shared" si="56"/>
        <v>1121595</v>
      </c>
      <c r="G39" s="140">
        <f t="shared" si="56"/>
        <v>100943</v>
      </c>
      <c r="H39" s="107">
        <f t="shared" si="56"/>
        <v>2243.19</v>
      </c>
      <c r="I39" s="107">
        <f t="shared" si="56"/>
        <v>706.61</v>
      </c>
      <c r="J39" s="107">
        <f t="shared" si="56"/>
        <v>40.3772</v>
      </c>
      <c r="K39" s="107">
        <f t="shared" si="56"/>
        <v>2990.1772</v>
      </c>
      <c r="L39" s="107"/>
      <c r="M39" s="107">
        <f t="shared" ref="M39:S39" si="57">SUM(M40:M43)</f>
        <v>2541.65</v>
      </c>
      <c r="N39" s="144">
        <f t="shared" si="57"/>
        <v>100</v>
      </c>
      <c r="O39" s="107">
        <f t="shared" si="57"/>
        <v>75</v>
      </c>
      <c r="P39" s="107">
        <f t="shared" si="57"/>
        <v>30</v>
      </c>
      <c r="Q39" s="107">
        <f t="shared" si="57"/>
        <v>0</v>
      </c>
      <c r="R39" s="107">
        <f t="shared" si="57"/>
        <v>205</v>
      </c>
      <c r="S39" s="107">
        <f t="shared" si="57"/>
        <v>2746.65</v>
      </c>
      <c r="T39" s="144">
        <f t="shared" ref="T39:X39" si="58">SUM(T40:T43)</f>
        <v>100</v>
      </c>
      <c r="U39" s="107">
        <f t="shared" si="58"/>
        <v>75</v>
      </c>
      <c r="V39" s="22"/>
      <c r="W39" s="107"/>
      <c r="X39" s="107">
        <f t="shared" si="58"/>
        <v>11887.0544</v>
      </c>
      <c r="Y39" s="140"/>
      <c r="Z39" s="107">
        <f>SUM(Z40:Z43)</f>
        <v>10105</v>
      </c>
    </row>
    <row r="40" s="4" customFormat="1" ht="18" customHeight="1" spans="1:26">
      <c r="A40" s="22"/>
      <c r="B40" s="22"/>
      <c r="C40" s="10" t="s">
        <v>58</v>
      </c>
      <c r="D40" s="140"/>
      <c r="E40" s="140"/>
      <c r="F40" s="140"/>
      <c r="G40" s="140"/>
      <c r="H40" s="107"/>
      <c r="I40" s="107"/>
      <c r="J40" s="107"/>
      <c r="K40" s="107"/>
      <c r="L40" s="120">
        <v>0.85</v>
      </c>
      <c r="M40" s="107"/>
      <c r="N40" s="145">
        <v>25</v>
      </c>
      <c r="O40" s="107"/>
      <c r="P40" s="22"/>
      <c r="Q40" s="107"/>
      <c r="R40" s="130">
        <f t="shared" ref="R40:R43" si="59">T40+U40+V40+W40</f>
        <v>25</v>
      </c>
      <c r="S40" s="119">
        <f t="shared" ref="S40:S43" si="60">M40+R40</f>
        <v>25</v>
      </c>
      <c r="T40" s="145">
        <v>25</v>
      </c>
      <c r="U40" s="107"/>
      <c r="V40" s="22"/>
      <c r="W40" s="107"/>
      <c r="X40" s="130">
        <f>SUM(H40:W40)</f>
        <v>100.85</v>
      </c>
      <c r="Y40" s="120">
        <v>0.85</v>
      </c>
      <c r="Z40" s="130">
        <f t="shared" ref="Z40:Z43" si="61">ROUND(X40*Y40,0)</f>
        <v>86</v>
      </c>
    </row>
    <row r="41" s="1" customFormat="1" ht="18" customHeight="1" spans="1:26">
      <c r="A41" s="10">
        <v>440981</v>
      </c>
      <c r="B41" s="10" t="s">
        <v>82</v>
      </c>
      <c r="C41" s="10" t="s">
        <v>84</v>
      </c>
      <c r="D41" s="87">
        <f>VLOOKUP(C41,[1]摸底数!B:D,3,0)</f>
        <v>712309</v>
      </c>
      <c r="E41" s="87">
        <v>35048</v>
      </c>
      <c r="F41" s="141">
        <f t="shared" ref="F41:F50" si="62">ROUND(D41*0.7-E41,0)</f>
        <v>463568</v>
      </c>
      <c r="G41" s="141">
        <f t="shared" ref="G41:G43" si="63">ROUND(F41*0.09,0)</f>
        <v>41721</v>
      </c>
      <c r="H41" s="142">
        <f t="shared" ref="H41:H43" si="64">F41*20/10000</f>
        <v>927.136</v>
      </c>
      <c r="I41" s="116">
        <f t="shared" ref="I41:I43" si="65">ROUND(F41*0.5*0.6*21/10000,2)</f>
        <v>292.05</v>
      </c>
      <c r="J41" s="116">
        <f t="shared" ref="J41:J43" si="66">G41*0.4*10/10000</f>
        <v>16.6884</v>
      </c>
      <c r="K41" s="116">
        <f t="shared" ref="K41:K43" si="67">H41+I41+J41</f>
        <v>1235.8744</v>
      </c>
      <c r="L41" s="120">
        <v>0.85</v>
      </c>
      <c r="M41" s="116">
        <f t="shared" ref="M41:M43" si="68">ROUND(K41*L41,2)</f>
        <v>1050.49</v>
      </c>
      <c r="N41" s="145">
        <v>25</v>
      </c>
      <c r="O41" s="116">
        <v>25</v>
      </c>
      <c r="P41" s="10">
        <v>10</v>
      </c>
      <c r="Q41" s="116"/>
      <c r="R41" s="130">
        <f t="shared" si="59"/>
        <v>60</v>
      </c>
      <c r="S41" s="119">
        <f t="shared" si="60"/>
        <v>1110.49</v>
      </c>
      <c r="T41" s="145">
        <v>25</v>
      </c>
      <c r="U41" s="116">
        <v>25</v>
      </c>
      <c r="V41" s="10">
        <v>10</v>
      </c>
      <c r="W41" s="116"/>
      <c r="X41" s="130">
        <f>SUM(H41:W41)</f>
        <v>4813.5788</v>
      </c>
      <c r="Y41" s="120">
        <v>0.85</v>
      </c>
      <c r="Z41" s="130">
        <f t="shared" si="61"/>
        <v>4092</v>
      </c>
    </row>
    <row r="42" s="1" customFormat="1" ht="18" customHeight="1" spans="1:26">
      <c r="A42" s="10">
        <v>440982</v>
      </c>
      <c r="B42" s="10" t="s">
        <v>82</v>
      </c>
      <c r="C42" s="10" t="s">
        <v>85</v>
      </c>
      <c r="D42" s="87">
        <f>VLOOKUP(C42,[1]摸底数!B:D,3,0)</f>
        <v>614131</v>
      </c>
      <c r="E42" s="87">
        <v>19558</v>
      </c>
      <c r="F42" s="143">
        <f>ROUND(D42*0.7-100000-E42,0)</f>
        <v>310334</v>
      </c>
      <c r="G42" s="141">
        <f t="shared" si="63"/>
        <v>27930</v>
      </c>
      <c r="H42" s="142">
        <f t="shared" si="64"/>
        <v>620.668</v>
      </c>
      <c r="I42" s="116">
        <f t="shared" si="65"/>
        <v>195.51</v>
      </c>
      <c r="J42" s="116">
        <f t="shared" si="66"/>
        <v>11.172</v>
      </c>
      <c r="K42" s="116">
        <f t="shared" si="67"/>
        <v>827.35</v>
      </c>
      <c r="L42" s="120">
        <v>0.85</v>
      </c>
      <c r="M42" s="116">
        <f t="shared" si="68"/>
        <v>703.25</v>
      </c>
      <c r="N42" s="145">
        <v>25</v>
      </c>
      <c r="O42" s="116">
        <v>25</v>
      </c>
      <c r="P42" s="10">
        <v>10</v>
      </c>
      <c r="Q42" s="116"/>
      <c r="R42" s="130">
        <f t="shared" si="59"/>
        <v>60</v>
      </c>
      <c r="S42" s="119">
        <f t="shared" si="60"/>
        <v>763.25</v>
      </c>
      <c r="T42" s="145">
        <v>25</v>
      </c>
      <c r="U42" s="116">
        <v>25</v>
      </c>
      <c r="V42" s="10">
        <v>10</v>
      </c>
      <c r="W42" s="116"/>
      <c r="X42" s="130">
        <f>SUM(H42:W42)</f>
        <v>3302.05</v>
      </c>
      <c r="Y42" s="120">
        <v>0.85</v>
      </c>
      <c r="Z42" s="130">
        <f t="shared" si="61"/>
        <v>2807</v>
      </c>
    </row>
    <row r="43" s="1" customFormat="1" ht="18" customHeight="1" spans="1:26">
      <c r="A43" s="10">
        <v>440983</v>
      </c>
      <c r="B43" s="10" t="s">
        <v>82</v>
      </c>
      <c r="C43" s="10" t="s">
        <v>86</v>
      </c>
      <c r="D43" s="87">
        <f>VLOOKUP(C43,[1]摸底数!B:D,3,0)</f>
        <v>533823</v>
      </c>
      <c r="E43" s="87">
        <v>25983</v>
      </c>
      <c r="F43" s="141">
        <f t="shared" si="62"/>
        <v>347693</v>
      </c>
      <c r="G43" s="141">
        <f t="shared" si="63"/>
        <v>31292</v>
      </c>
      <c r="H43" s="142">
        <f t="shared" si="64"/>
        <v>695.386</v>
      </c>
      <c r="I43" s="116">
        <f t="shared" si="65"/>
        <v>219.05</v>
      </c>
      <c r="J43" s="116">
        <f t="shared" si="66"/>
        <v>12.5168</v>
      </c>
      <c r="K43" s="116">
        <f t="shared" si="67"/>
        <v>926.9528</v>
      </c>
      <c r="L43" s="120">
        <v>0.85</v>
      </c>
      <c r="M43" s="116">
        <f t="shared" si="68"/>
        <v>787.91</v>
      </c>
      <c r="N43" s="145">
        <v>25</v>
      </c>
      <c r="O43" s="116">
        <v>25</v>
      </c>
      <c r="P43" s="10">
        <v>10</v>
      </c>
      <c r="Q43" s="116"/>
      <c r="R43" s="130">
        <f t="shared" si="59"/>
        <v>60</v>
      </c>
      <c r="S43" s="119">
        <f t="shared" si="60"/>
        <v>847.91</v>
      </c>
      <c r="T43" s="145">
        <v>25</v>
      </c>
      <c r="U43" s="116">
        <v>25</v>
      </c>
      <c r="V43" s="10">
        <v>10</v>
      </c>
      <c r="W43" s="116"/>
      <c r="X43" s="130">
        <f>SUM(H43:W43)</f>
        <v>3670.5756</v>
      </c>
      <c r="Y43" s="120">
        <v>0.85</v>
      </c>
      <c r="Z43" s="130">
        <f t="shared" si="61"/>
        <v>3120</v>
      </c>
    </row>
    <row r="44" s="4" customFormat="1" ht="18" customHeight="1" spans="1:26">
      <c r="A44" s="22">
        <v>441200</v>
      </c>
      <c r="B44" s="22" t="s">
        <v>87</v>
      </c>
      <c r="C44" s="23" t="s">
        <v>88</v>
      </c>
      <c r="D44" s="140">
        <f t="shared" ref="D44:K44" si="69">SUM(D45:D50)</f>
        <v>1384019</v>
      </c>
      <c r="E44" s="140">
        <f t="shared" si="69"/>
        <v>71147</v>
      </c>
      <c r="F44" s="140">
        <f t="shared" si="69"/>
        <v>897667</v>
      </c>
      <c r="G44" s="140">
        <f t="shared" si="69"/>
        <v>80790</v>
      </c>
      <c r="H44" s="107">
        <f t="shared" si="69"/>
        <v>1795.334</v>
      </c>
      <c r="I44" s="107">
        <f t="shared" si="69"/>
        <v>565.54</v>
      </c>
      <c r="J44" s="107">
        <f t="shared" si="69"/>
        <v>32.316</v>
      </c>
      <c r="K44" s="107">
        <f t="shared" si="69"/>
        <v>2393.19</v>
      </c>
      <c r="L44" s="107"/>
      <c r="M44" s="107">
        <f t="shared" ref="M44:S44" si="70">SUM(M45:M50)</f>
        <v>1914.58</v>
      </c>
      <c r="N44" s="144">
        <f t="shared" si="70"/>
        <v>150</v>
      </c>
      <c r="O44" s="107">
        <f t="shared" si="70"/>
        <v>125</v>
      </c>
      <c r="P44" s="107">
        <f t="shared" si="70"/>
        <v>50</v>
      </c>
      <c r="Q44" s="107">
        <f t="shared" si="70"/>
        <v>0</v>
      </c>
      <c r="R44" s="107">
        <f t="shared" si="70"/>
        <v>325</v>
      </c>
      <c r="S44" s="107">
        <f t="shared" si="70"/>
        <v>2239.58</v>
      </c>
      <c r="T44" s="144">
        <f t="shared" ref="T44:X44" si="71">SUM(T45:T50)</f>
        <v>150</v>
      </c>
      <c r="U44" s="107">
        <f t="shared" si="71"/>
        <v>125</v>
      </c>
      <c r="V44" s="22"/>
      <c r="W44" s="107"/>
      <c r="X44" s="107">
        <f t="shared" si="71"/>
        <v>9920.24</v>
      </c>
      <c r="Y44" s="140"/>
      <c r="Z44" s="107">
        <f>SUM(Z45:Z50)</f>
        <v>7967</v>
      </c>
    </row>
    <row r="45" s="4" customFormat="1" ht="18" customHeight="1" spans="1:26">
      <c r="A45" s="22"/>
      <c r="B45" s="22"/>
      <c r="C45" s="10" t="s">
        <v>58</v>
      </c>
      <c r="D45" s="140"/>
      <c r="E45" s="140"/>
      <c r="F45" s="140"/>
      <c r="G45" s="140"/>
      <c r="H45" s="107"/>
      <c r="I45" s="107"/>
      <c r="J45" s="107"/>
      <c r="K45" s="107"/>
      <c r="L45" s="120">
        <v>0.65</v>
      </c>
      <c r="M45" s="107"/>
      <c r="N45" s="145">
        <v>25</v>
      </c>
      <c r="O45" s="107"/>
      <c r="P45" s="22"/>
      <c r="Q45" s="107"/>
      <c r="R45" s="130">
        <f t="shared" ref="R45:R50" si="72">T45+U45+V45+W45</f>
        <v>25</v>
      </c>
      <c r="S45" s="119">
        <f t="shared" ref="S45:S50" si="73">M45+R45</f>
        <v>25</v>
      </c>
      <c r="T45" s="145">
        <v>25</v>
      </c>
      <c r="U45" s="107"/>
      <c r="V45" s="22"/>
      <c r="W45" s="107"/>
      <c r="X45" s="130">
        <f t="shared" ref="X45:X50" si="74">SUM(H45:W45)</f>
        <v>100.65</v>
      </c>
      <c r="Y45" s="120">
        <v>0.65</v>
      </c>
      <c r="Z45" s="130">
        <f t="shared" ref="Z45:Z50" si="75">ROUND(X45*Y45,0)</f>
        <v>65</v>
      </c>
    </row>
    <row r="46" s="1" customFormat="1" ht="18" customHeight="1" spans="1:26">
      <c r="A46" s="10">
        <v>441223</v>
      </c>
      <c r="B46" s="10" t="s">
        <v>87</v>
      </c>
      <c r="C46" s="10" t="s">
        <v>89</v>
      </c>
      <c r="D46" s="87">
        <f>VLOOKUP(C46,[1]摸底数!B:D,3,0)</f>
        <v>254266</v>
      </c>
      <c r="E46" s="87">
        <v>14149</v>
      </c>
      <c r="F46" s="141">
        <f t="shared" si="62"/>
        <v>163837</v>
      </c>
      <c r="G46" s="141">
        <f t="shared" ref="G46:G50" si="76">ROUND(F46*0.09,0)</f>
        <v>14745</v>
      </c>
      <c r="H46" s="142">
        <f t="shared" ref="H46:H50" si="77">F46*20/10000</f>
        <v>327.674</v>
      </c>
      <c r="I46" s="116">
        <f t="shared" ref="I46:I50" si="78">ROUND(F46*0.5*0.6*21/10000,2)</f>
        <v>103.22</v>
      </c>
      <c r="J46" s="116">
        <f t="shared" ref="J46:J50" si="79">G46*0.4*10/10000</f>
        <v>5.898</v>
      </c>
      <c r="K46" s="116">
        <f t="shared" ref="K46:K50" si="80">H46+I46+J46</f>
        <v>436.792</v>
      </c>
      <c r="L46" s="120">
        <v>0.85</v>
      </c>
      <c r="M46" s="116">
        <f t="shared" ref="M46:M50" si="81">ROUND(K46*L46,2)</f>
        <v>371.27</v>
      </c>
      <c r="N46" s="145">
        <v>25</v>
      </c>
      <c r="O46" s="116">
        <v>25</v>
      </c>
      <c r="P46" s="10">
        <v>10</v>
      </c>
      <c r="Q46" s="116"/>
      <c r="R46" s="130">
        <f t="shared" si="72"/>
        <v>60</v>
      </c>
      <c r="S46" s="119">
        <f t="shared" si="73"/>
        <v>431.27</v>
      </c>
      <c r="T46" s="145">
        <v>25</v>
      </c>
      <c r="U46" s="116">
        <v>25</v>
      </c>
      <c r="V46" s="10">
        <v>10</v>
      </c>
      <c r="W46" s="116"/>
      <c r="X46" s="130">
        <f t="shared" si="74"/>
        <v>1856.974</v>
      </c>
      <c r="Y46" s="120">
        <v>0.85</v>
      </c>
      <c r="Z46" s="130">
        <f t="shared" si="75"/>
        <v>1578</v>
      </c>
    </row>
    <row r="47" s="1" customFormat="1" ht="18" customHeight="1" spans="1:26">
      <c r="A47" s="10">
        <v>441224</v>
      </c>
      <c r="B47" s="10" t="s">
        <v>87</v>
      </c>
      <c r="C47" s="10" t="s">
        <v>90</v>
      </c>
      <c r="D47" s="87">
        <f>VLOOKUP(C47,[1]摸底数!B:D,3,0)</f>
        <v>386138</v>
      </c>
      <c r="E47" s="87">
        <v>23002</v>
      </c>
      <c r="F47" s="141">
        <f t="shared" si="62"/>
        <v>247295</v>
      </c>
      <c r="G47" s="141">
        <f t="shared" si="76"/>
        <v>22257</v>
      </c>
      <c r="H47" s="142">
        <f t="shared" si="77"/>
        <v>494.59</v>
      </c>
      <c r="I47" s="116">
        <f t="shared" si="78"/>
        <v>155.8</v>
      </c>
      <c r="J47" s="116">
        <f t="shared" si="79"/>
        <v>8.9028</v>
      </c>
      <c r="K47" s="116">
        <f t="shared" si="80"/>
        <v>659.2928</v>
      </c>
      <c r="L47" s="120">
        <v>0.85</v>
      </c>
      <c r="M47" s="116">
        <f t="shared" si="81"/>
        <v>560.4</v>
      </c>
      <c r="N47" s="145">
        <v>25</v>
      </c>
      <c r="O47" s="116">
        <v>25</v>
      </c>
      <c r="P47" s="10">
        <v>10</v>
      </c>
      <c r="Q47" s="116"/>
      <c r="R47" s="130">
        <f t="shared" si="72"/>
        <v>60</v>
      </c>
      <c r="S47" s="119">
        <f t="shared" si="73"/>
        <v>620.4</v>
      </c>
      <c r="T47" s="145">
        <v>25</v>
      </c>
      <c r="U47" s="116">
        <v>25</v>
      </c>
      <c r="V47" s="10">
        <v>10</v>
      </c>
      <c r="W47" s="116"/>
      <c r="X47" s="130">
        <f t="shared" si="74"/>
        <v>2680.2356</v>
      </c>
      <c r="Y47" s="120">
        <v>0.85</v>
      </c>
      <c r="Z47" s="130">
        <f t="shared" si="75"/>
        <v>2278</v>
      </c>
    </row>
    <row r="48" s="1" customFormat="1" ht="18" customHeight="1" spans="1:26">
      <c r="A48" s="10">
        <v>441225</v>
      </c>
      <c r="B48" s="10" t="s">
        <v>87</v>
      </c>
      <c r="C48" s="10" t="s">
        <v>91</v>
      </c>
      <c r="D48" s="87">
        <f>VLOOKUP(C48,[1]摸底数!B:D,3,0)</f>
        <v>196861</v>
      </c>
      <c r="E48" s="87">
        <v>14286</v>
      </c>
      <c r="F48" s="141">
        <f t="shared" si="62"/>
        <v>123517</v>
      </c>
      <c r="G48" s="141">
        <f t="shared" si="76"/>
        <v>11117</v>
      </c>
      <c r="H48" s="142">
        <f t="shared" si="77"/>
        <v>247.034</v>
      </c>
      <c r="I48" s="116">
        <f t="shared" si="78"/>
        <v>77.82</v>
      </c>
      <c r="J48" s="116">
        <f t="shared" si="79"/>
        <v>4.4468</v>
      </c>
      <c r="K48" s="116">
        <f t="shared" si="80"/>
        <v>329.3008</v>
      </c>
      <c r="L48" s="120">
        <v>0.85</v>
      </c>
      <c r="M48" s="116">
        <f t="shared" si="81"/>
        <v>279.91</v>
      </c>
      <c r="N48" s="145">
        <v>25</v>
      </c>
      <c r="O48" s="116">
        <v>25</v>
      </c>
      <c r="P48" s="10">
        <v>10</v>
      </c>
      <c r="Q48" s="116"/>
      <c r="R48" s="130">
        <f t="shared" si="72"/>
        <v>60</v>
      </c>
      <c r="S48" s="119">
        <f t="shared" si="73"/>
        <v>339.91</v>
      </c>
      <c r="T48" s="145">
        <v>25</v>
      </c>
      <c r="U48" s="116">
        <v>25</v>
      </c>
      <c r="V48" s="10">
        <v>10</v>
      </c>
      <c r="W48" s="116"/>
      <c r="X48" s="130">
        <f t="shared" si="74"/>
        <v>1459.2716</v>
      </c>
      <c r="Y48" s="120">
        <v>0.85</v>
      </c>
      <c r="Z48" s="130">
        <f t="shared" si="75"/>
        <v>1240</v>
      </c>
    </row>
    <row r="49" s="1" customFormat="1" ht="18" customHeight="1" spans="1:26">
      <c r="A49" s="10">
        <v>441226</v>
      </c>
      <c r="B49" s="10" t="s">
        <v>87</v>
      </c>
      <c r="C49" s="10" t="s">
        <v>92</v>
      </c>
      <c r="D49" s="87">
        <f>VLOOKUP(C49,[1]摸底数!B:D,3,0)</f>
        <v>207985</v>
      </c>
      <c r="E49" s="87">
        <v>6944</v>
      </c>
      <c r="F49" s="141">
        <f t="shared" si="62"/>
        <v>138646</v>
      </c>
      <c r="G49" s="141">
        <f t="shared" si="76"/>
        <v>12478</v>
      </c>
      <c r="H49" s="142">
        <f t="shared" si="77"/>
        <v>277.292</v>
      </c>
      <c r="I49" s="116">
        <f t="shared" si="78"/>
        <v>87.35</v>
      </c>
      <c r="J49" s="116">
        <f t="shared" si="79"/>
        <v>4.9912</v>
      </c>
      <c r="K49" s="116">
        <f t="shared" si="80"/>
        <v>369.6332</v>
      </c>
      <c r="L49" s="120">
        <v>0.85</v>
      </c>
      <c r="M49" s="116">
        <f t="shared" si="81"/>
        <v>314.19</v>
      </c>
      <c r="N49" s="145">
        <v>25</v>
      </c>
      <c r="O49" s="116">
        <v>25</v>
      </c>
      <c r="P49" s="10">
        <v>10</v>
      </c>
      <c r="Q49" s="116"/>
      <c r="R49" s="130">
        <f t="shared" si="72"/>
        <v>60</v>
      </c>
      <c r="S49" s="119">
        <f t="shared" si="73"/>
        <v>374.19</v>
      </c>
      <c r="T49" s="145">
        <v>25</v>
      </c>
      <c r="U49" s="116">
        <v>25</v>
      </c>
      <c r="V49" s="10">
        <v>10</v>
      </c>
      <c r="W49" s="116"/>
      <c r="X49" s="130">
        <f t="shared" si="74"/>
        <v>1608.4964</v>
      </c>
      <c r="Y49" s="120">
        <v>0.85</v>
      </c>
      <c r="Z49" s="130">
        <f t="shared" si="75"/>
        <v>1367</v>
      </c>
    </row>
    <row r="50" s="1" customFormat="1" ht="18" customHeight="1" spans="1:26">
      <c r="A50" s="10">
        <v>441284</v>
      </c>
      <c r="B50" s="10" t="s">
        <v>87</v>
      </c>
      <c r="C50" s="10" t="s">
        <v>93</v>
      </c>
      <c r="D50" s="87">
        <f>VLOOKUP(C50,[1]摸底数!B:D,3,0)</f>
        <v>338769</v>
      </c>
      <c r="E50" s="87">
        <v>12766</v>
      </c>
      <c r="F50" s="141">
        <f t="shared" si="62"/>
        <v>224372</v>
      </c>
      <c r="G50" s="141">
        <f t="shared" si="76"/>
        <v>20193</v>
      </c>
      <c r="H50" s="142">
        <f t="shared" si="77"/>
        <v>448.744</v>
      </c>
      <c r="I50" s="116">
        <f t="shared" si="78"/>
        <v>141.35</v>
      </c>
      <c r="J50" s="116">
        <f t="shared" si="79"/>
        <v>8.0772</v>
      </c>
      <c r="K50" s="116">
        <f t="shared" si="80"/>
        <v>598.1712</v>
      </c>
      <c r="L50" s="120">
        <v>0.65</v>
      </c>
      <c r="M50" s="116">
        <f t="shared" si="81"/>
        <v>388.81</v>
      </c>
      <c r="N50" s="145">
        <v>25</v>
      </c>
      <c r="O50" s="116">
        <v>25</v>
      </c>
      <c r="P50" s="10">
        <v>10</v>
      </c>
      <c r="Q50" s="116"/>
      <c r="R50" s="130">
        <f t="shared" si="72"/>
        <v>60</v>
      </c>
      <c r="S50" s="119">
        <f t="shared" si="73"/>
        <v>448.81</v>
      </c>
      <c r="T50" s="145">
        <v>25</v>
      </c>
      <c r="U50" s="116">
        <v>25</v>
      </c>
      <c r="V50" s="10">
        <v>10</v>
      </c>
      <c r="W50" s="116"/>
      <c r="X50" s="130">
        <f t="shared" si="74"/>
        <v>2214.6124</v>
      </c>
      <c r="Y50" s="120">
        <v>0.65</v>
      </c>
      <c r="Z50" s="130">
        <f t="shared" si="75"/>
        <v>1439</v>
      </c>
    </row>
    <row r="51" s="4" customFormat="1" ht="18" customHeight="1" spans="1:26">
      <c r="A51" s="22">
        <v>441300</v>
      </c>
      <c r="B51" s="22" t="s">
        <v>94</v>
      </c>
      <c r="C51" s="23" t="s">
        <v>95</v>
      </c>
      <c r="D51" s="140">
        <f t="shared" ref="D51:K51" si="82">SUM(D52:D55)</f>
        <v>1656785</v>
      </c>
      <c r="E51" s="140">
        <f t="shared" si="82"/>
        <v>45262</v>
      </c>
      <c r="F51" s="140">
        <f t="shared" si="82"/>
        <v>1114488</v>
      </c>
      <c r="G51" s="140">
        <f t="shared" si="82"/>
        <v>100303</v>
      </c>
      <c r="H51" s="107">
        <f t="shared" si="82"/>
        <v>2228.976</v>
      </c>
      <c r="I51" s="107">
        <f t="shared" si="82"/>
        <v>702.12</v>
      </c>
      <c r="J51" s="107">
        <f t="shared" si="82"/>
        <v>40.1212</v>
      </c>
      <c r="K51" s="107">
        <f t="shared" si="82"/>
        <v>2971.2172</v>
      </c>
      <c r="L51" s="107"/>
      <c r="M51" s="107">
        <f t="shared" ref="M51:S51" si="83">SUM(M52:M55)</f>
        <v>2417.97</v>
      </c>
      <c r="N51" s="144">
        <f t="shared" si="83"/>
        <v>100</v>
      </c>
      <c r="O51" s="107">
        <f t="shared" si="83"/>
        <v>75</v>
      </c>
      <c r="P51" s="107">
        <f t="shared" si="83"/>
        <v>30</v>
      </c>
      <c r="Q51" s="107">
        <f t="shared" si="83"/>
        <v>0</v>
      </c>
      <c r="R51" s="107">
        <f t="shared" si="83"/>
        <v>205</v>
      </c>
      <c r="S51" s="107">
        <f t="shared" si="83"/>
        <v>2622.97</v>
      </c>
      <c r="T51" s="144">
        <f t="shared" ref="T51:X51" si="84">SUM(T52:T55)</f>
        <v>100</v>
      </c>
      <c r="U51" s="107">
        <f t="shared" si="84"/>
        <v>75</v>
      </c>
      <c r="V51" s="22"/>
      <c r="W51" s="107"/>
      <c r="X51" s="107">
        <f t="shared" si="84"/>
        <v>11601.5244</v>
      </c>
      <c r="Y51" s="140"/>
      <c r="Z51" s="107">
        <f>SUM(Z52:Z55)</f>
        <v>9602</v>
      </c>
    </row>
    <row r="52" s="4" customFormat="1" ht="18" customHeight="1" spans="1:26">
      <c r="A52" s="22"/>
      <c r="B52" s="22"/>
      <c r="C52" s="10" t="s">
        <v>58</v>
      </c>
      <c r="D52" s="140"/>
      <c r="E52" s="140"/>
      <c r="F52" s="140"/>
      <c r="G52" s="140"/>
      <c r="H52" s="107"/>
      <c r="I52" s="107"/>
      <c r="J52" s="107"/>
      <c r="K52" s="107"/>
      <c r="L52" s="120">
        <v>0.65</v>
      </c>
      <c r="M52" s="107"/>
      <c r="N52" s="145">
        <v>25</v>
      </c>
      <c r="O52" s="107"/>
      <c r="P52" s="22"/>
      <c r="Q52" s="107"/>
      <c r="R52" s="130">
        <f t="shared" ref="R52:R55" si="85">T52+U52+V52+W52</f>
        <v>25</v>
      </c>
      <c r="S52" s="119">
        <f t="shared" ref="S52:S55" si="86">M52+R52</f>
        <v>25</v>
      </c>
      <c r="T52" s="145">
        <v>25</v>
      </c>
      <c r="U52" s="107"/>
      <c r="V52" s="22"/>
      <c r="W52" s="107"/>
      <c r="X52" s="130">
        <f>SUM(H52:W52)</f>
        <v>100.65</v>
      </c>
      <c r="Y52" s="120">
        <v>0.65</v>
      </c>
      <c r="Z52" s="130">
        <f t="shared" ref="Z52:Z55" si="87">ROUND(X52*Y52,0)</f>
        <v>65</v>
      </c>
    </row>
    <row r="53" s="1" customFormat="1" ht="18" customHeight="1" spans="1:26">
      <c r="A53" s="10">
        <v>441322</v>
      </c>
      <c r="B53" s="10" t="s">
        <v>94</v>
      </c>
      <c r="C53" s="10" t="s">
        <v>96</v>
      </c>
      <c r="D53" s="87">
        <f>VLOOKUP(C53,[1]摸底数!B:D,3,0)</f>
        <v>826100</v>
      </c>
      <c r="E53" s="87">
        <v>33822</v>
      </c>
      <c r="F53" s="141">
        <f t="shared" ref="F53:F55" si="88">ROUND(D53*0.7-E53,0)</f>
        <v>544448</v>
      </c>
      <c r="G53" s="141">
        <f t="shared" ref="G53:G55" si="89">ROUND(F53*0.09,0)</f>
        <v>49000</v>
      </c>
      <c r="H53" s="142">
        <f t="shared" ref="H53:H55" si="90">F53*20/10000</f>
        <v>1088.896</v>
      </c>
      <c r="I53" s="116">
        <f t="shared" ref="I53:I55" si="91">ROUND(F53*0.5*0.6*21/10000,2)</f>
        <v>343</v>
      </c>
      <c r="J53" s="116">
        <f t="shared" ref="J53:J55" si="92">G53*0.4*10/10000</f>
        <v>19.6</v>
      </c>
      <c r="K53" s="116">
        <f t="shared" ref="K53:K55" si="93">H53+I53+J53</f>
        <v>1451.496</v>
      </c>
      <c r="L53" s="120">
        <v>0.65</v>
      </c>
      <c r="M53" s="116">
        <f t="shared" ref="M53:M55" si="94">ROUND(K53*L53,2)</f>
        <v>943.47</v>
      </c>
      <c r="N53" s="145">
        <v>25</v>
      </c>
      <c r="O53" s="116">
        <v>25</v>
      </c>
      <c r="P53" s="10">
        <v>10</v>
      </c>
      <c r="Q53" s="116"/>
      <c r="R53" s="130">
        <f t="shared" si="85"/>
        <v>60</v>
      </c>
      <c r="S53" s="119">
        <f t="shared" si="86"/>
        <v>1003.47</v>
      </c>
      <c r="T53" s="145">
        <v>25</v>
      </c>
      <c r="U53" s="116">
        <v>25</v>
      </c>
      <c r="V53" s="10">
        <v>10</v>
      </c>
      <c r="W53" s="116"/>
      <c r="X53" s="130">
        <f>SUM(H53:W53)</f>
        <v>5030.582</v>
      </c>
      <c r="Y53" s="120">
        <v>0.65</v>
      </c>
      <c r="Z53" s="130">
        <f t="shared" si="87"/>
        <v>3270</v>
      </c>
    </row>
    <row r="54" s="1" customFormat="1" ht="18" customHeight="1" spans="1:26">
      <c r="A54" s="10">
        <v>441323</v>
      </c>
      <c r="B54" s="10" t="s">
        <v>94</v>
      </c>
      <c r="C54" s="10" t="s">
        <v>97</v>
      </c>
      <c r="D54" s="87">
        <f>VLOOKUP(C54,[1]摸底数!B:D,3,0)</f>
        <v>667221</v>
      </c>
      <c r="E54" s="87">
        <v>10117</v>
      </c>
      <c r="F54" s="141">
        <f t="shared" si="88"/>
        <v>456938</v>
      </c>
      <c r="G54" s="141">
        <f t="shared" si="89"/>
        <v>41124</v>
      </c>
      <c r="H54" s="142">
        <f t="shared" si="90"/>
        <v>913.876</v>
      </c>
      <c r="I54" s="116">
        <f t="shared" si="91"/>
        <v>287.87</v>
      </c>
      <c r="J54" s="116">
        <f t="shared" si="92"/>
        <v>16.4496</v>
      </c>
      <c r="K54" s="116">
        <f t="shared" si="93"/>
        <v>1218.1956</v>
      </c>
      <c r="L54" s="120">
        <v>1</v>
      </c>
      <c r="M54" s="116">
        <f t="shared" si="94"/>
        <v>1218.2</v>
      </c>
      <c r="N54" s="145">
        <v>25</v>
      </c>
      <c r="O54" s="116">
        <v>25</v>
      </c>
      <c r="P54" s="10">
        <v>10</v>
      </c>
      <c r="Q54" s="116"/>
      <c r="R54" s="130">
        <f t="shared" si="85"/>
        <v>60</v>
      </c>
      <c r="S54" s="119">
        <f t="shared" si="86"/>
        <v>1278.2</v>
      </c>
      <c r="T54" s="145">
        <v>25</v>
      </c>
      <c r="U54" s="116">
        <v>25</v>
      </c>
      <c r="V54" s="10">
        <v>10</v>
      </c>
      <c r="W54" s="116"/>
      <c r="X54" s="130">
        <f>SUM(H54:W54)</f>
        <v>5113.7912</v>
      </c>
      <c r="Y54" s="120">
        <v>1</v>
      </c>
      <c r="Z54" s="130">
        <f t="shared" si="87"/>
        <v>5114</v>
      </c>
    </row>
    <row r="55" s="1" customFormat="1" ht="18" customHeight="1" spans="1:26">
      <c r="A55" s="10">
        <v>441324</v>
      </c>
      <c r="B55" s="10" t="s">
        <v>94</v>
      </c>
      <c r="C55" s="10" t="s">
        <v>98</v>
      </c>
      <c r="D55" s="87">
        <f>VLOOKUP(C55,[1]摸底数!B:D,3,0)</f>
        <v>163464</v>
      </c>
      <c r="E55" s="87">
        <v>1323</v>
      </c>
      <c r="F55" s="141">
        <f t="shared" si="88"/>
        <v>113102</v>
      </c>
      <c r="G55" s="141">
        <f t="shared" si="89"/>
        <v>10179</v>
      </c>
      <c r="H55" s="142">
        <f t="shared" si="90"/>
        <v>226.204</v>
      </c>
      <c r="I55" s="116">
        <f t="shared" si="91"/>
        <v>71.25</v>
      </c>
      <c r="J55" s="116">
        <f t="shared" si="92"/>
        <v>4.0716</v>
      </c>
      <c r="K55" s="116">
        <f t="shared" si="93"/>
        <v>301.5256</v>
      </c>
      <c r="L55" s="120">
        <v>0.85</v>
      </c>
      <c r="M55" s="116">
        <f t="shared" si="94"/>
        <v>256.3</v>
      </c>
      <c r="N55" s="145">
        <v>25</v>
      </c>
      <c r="O55" s="116">
        <v>25</v>
      </c>
      <c r="P55" s="10">
        <v>10</v>
      </c>
      <c r="Q55" s="116"/>
      <c r="R55" s="130">
        <f t="shared" si="85"/>
        <v>60</v>
      </c>
      <c r="S55" s="119">
        <f t="shared" si="86"/>
        <v>316.3</v>
      </c>
      <c r="T55" s="145">
        <v>25</v>
      </c>
      <c r="U55" s="116">
        <v>25</v>
      </c>
      <c r="V55" s="10">
        <v>10</v>
      </c>
      <c r="W55" s="116"/>
      <c r="X55" s="130">
        <f>SUM(H55:W55)</f>
        <v>1356.5012</v>
      </c>
      <c r="Y55" s="120">
        <v>0.85</v>
      </c>
      <c r="Z55" s="130">
        <f t="shared" si="87"/>
        <v>1153</v>
      </c>
    </row>
    <row r="56" s="4" customFormat="1" ht="18" customHeight="1" spans="1:26">
      <c r="A56" s="22">
        <v>441400</v>
      </c>
      <c r="B56" s="22" t="s">
        <v>99</v>
      </c>
      <c r="C56" s="23" t="s">
        <v>100</v>
      </c>
      <c r="D56" s="140">
        <f t="shared" ref="D56:K56" si="95">SUM(D57:D63)</f>
        <v>1807860</v>
      </c>
      <c r="E56" s="140">
        <f t="shared" si="95"/>
        <v>132217</v>
      </c>
      <c r="F56" s="140">
        <f t="shared" si="95"/>
        <v>1133284</v>
      </c>
      <c r="G56" s="140">
        <f t="shared" si="95"/>
        <v>101996</v>
      </c>
      <c r="H56" s="107">
        <f t="shared" si="95"/>
        <v>2266.568</v>
      </c>
      <c r="I56" s="107">
        <f t="shared" si="95"/>
        <v>713.96</v>
      </c>
      <c r="J56" s="107">
        <f t="shared" si="95"/>
        <v>40.7984</v>
      </c>
      <c r="K56" s="107">
        <f t="shared" si="95"/>
        <v>3021.3264</v>
      </c>
      <c r="L56" s="107"/>
      <c r="M56" s="107">
        <f t="shared" ref="M56:S56" si="96">SUM(M57:M63)</f>
        <v>3021.33</v>
      </c>
      <c r="N56" s="144">
        <f t="shared" si="96"/>
        <v>175</v>
      </c>
      <c r="O56" s="107">
        <f t="shared" si="96"/>
        <v>150</v>
      </c>
      <c r="P56" s="107">
        <f t="shared" si="96"/>
        <v>60</v>
      </c>
      <c r="Q56" s="107">
        <f t="shared" si="96"/>
        <v>0</v>
      </c>
      <c r="R56" s="107">
        <f t="shared" si="96"/>
        <v>385</v>
      </c>
      <c r="S56" s="107">
        <f t="shared" si="96"/>
        <v>3406.33</v>
      </c>
      <c r="T56" s="144">
        <f t="shared" ref="T56:X56" si="97">SUM(T57:T63)</f>
        <v>175</v>
      </c>
      <c r="U56" s="107">
        <f t="shared" si="97"/>
        <v>150</v>
      </c>
      <c r="V56" s="22"/>
      <c r="W56" s="107"/>
      <c r="X56" s="107">
        <f t="shared" si="97"/>
        <v>13632.1628</v>
      </c>
      <c r="Y56" s="140"/>
      <c r="Z56" s="107">
        <f>SUM(Z57:Z63)</f>
        <v>13617</v>
      </c>
    </row>
    <row r="57" s="4" customFormat="1" ht="18" customHeight="1" spans="1:26">
      <c r="A57" s="22"/>
      <c r="B57" s="22"/>
      <c r="C57" s="10" t="s">
        <v>58</v>
      </c>
      <c r="D57" s="140"/>
      <c r="E57" s="140"/>
      <c r="F57" s="140"/>
      <c r="G57" s="140"/>
      <c r="H57" s="107"/>
      <c r="I57" s="107"/>
      <c r="J57" s="107"/>
      <c r="K57" s="107"/>
      <c r="L57" s="120">
        <v>0.85</v>
      </c>
      <c r="M57" s="107"/>
      <c r="N57" s="145">
        <v>25</v>
      </c>
      <c r="O57" s="107"/>
      <c r="P57" s="22"/>
      <c r="Q57" s="107"/>
      <c r="R57" s="130">
        <f t="shared" ref="R57:R63" si="98">T57+U57+V57+W57</f>
        <v>25</v>
      </c>
      <c r="S57" s="119">
        <f t="shared" ref="S57:S63" si="99">M57+R57</f>
        <v>25</v>
      </c>
      <c r="T57" s="145">
        <v>25</v>
      </c>
      <c r="U57" s="107"/>
      <c r="V57" s="22"/>
      <c r="W57" s="107"/>
      <c r="X57" s="130">
        <f t="shared" ref="X57:X63" si="100">SUM(H57:W57)</f>
        <v>100.85</v>
      </c>
      <c r="Y57" s="120">
        <v>0.85</v>
      </c>
      <c r="Z57" s="130">
        <f t="shared" ref="Z57:Z63" si="101">ROUND(X57*Y57,0)</f>
        <v>86</v>
      </c>
    </row>
    <row r="58" s="1" customFormat="1" ht="18" customHeight="1" spans="1:26">
      <c r="A58" s="10">
        <v>441422</v>
      </c>
      <c r="B58" s="10" t="s">
        <v>99</v>
      </c>
      <c r="C58" s="10" t="s">
        <v>101</v>
      </c>
      <c r="D58" s="87">
        <f>VLOOKUP(C58,[1]摸底数!B:D,3,0)</f>
        <v>196859</v>
      </c>
      <c r="E58" s="87">
        <v>83282</v>
      </c>
      <c r="F58" s="141">
        <f t="shared" ref="F58:F63" si="102">ROUND(D58*0.7-E58,0)</f>
        <v>54519</v>
      </c>
      <c r="G58" s="141">
        <f t="shared" ref="G58:G63" si="103">ROUND(F58*0.09,0)</f>
        <v>4907</v>
      </c>
      <c r="H58" s="142">
        <f t="shared" ref="H58:H63" si="104">F58*20/10000</f>
        <v>109.038</v>
      </c>
      <c r="I58" s="116">
        <f t="shared" ref="I58:I63" si="105">ROUND(F58*0.5*0.6*21/10000,2)</f>
        <v>34.35</v>
      </c>
      <c r="J58" s="116">
        <f t="shared" ref="J58:J63" si="106">G58*0.4*10/10000</f>
        <v>1.9628</v>
      </c>
      <c r="K58" s="116">
        <f t="shared" ref="K58:K63" si="107">H58+I58+J58</f>
        <v>145.3508</v>
      </c>
      <c r="L58" s="120">
        <v>1</v>
      </c>
      <c r="M58" s="116">
        <f t="shared" ref="M58:M63" si="108">ROUND(K58*L58,2)</f>
        <v>145.35</v>
      </c>
      <c r="N58" s="145">
        <v>25</v>
      </c>
      <c r="O58" s="116">
        <v>25</v>
      </c>
      <c r="P58" s="10">
        <v>10</v>
      </c>
      <c r="Q58" s="116"/>
      <c r="R58" s="130">
        <f t="shared" si="98"/>
        <v>60</v>
      </c>
      <c r="S58" s="119">
        <f t="shared" si="99"/>
        <v>205.35</v>
      </c>
      <c r="T58" s="145">
        <v>25</v>
      </c>
      <c r="U58" s="116">
        <v>25</v>
      </c>
      <c r="V58" s="10">
        <v>10</v>
      </c>
      <c r="W58" s="116"/>
      <c r="X58" s="130">
        <f t="shared" si="100"/>
        <v>822.4016</v>
      </c>
      <c r="Y58" s="120">
        <v>1</v>
      </c>
      <c r="Z58" s="130">
        <f t="shared" si="101"/>
        <v>822</v>
      </c>
    </row>
    <row r="59" s="1" customFormat="1" ht="18" customHeight="1" spans="1:26">
      <c r="A59" s="10">
        <v>441423</v>
      </c>
      <c r="B59" s="10" t="s">
        <v>99</v>
      </c>
      <c r="C59" s="10" t="s">
        <v>102</v>
      </c>
      <c r="D59" s="87">
        <f>VLOOKUP(C59,[1]摸底数!B:D,3,0)</f>
        <v>295089</v>
      </c>
      <c r="E59" s="87">
        <v>9868</v>
      </c>
      <c r="F59" s="141">
        <f t="shared" si="102"/>
        <v>196694</v>
      </c>
      <c r="G59" s="141">
        <f t="shared" si="103"/>
        <v>17702</v>
      </c>
      <c r="H59" s="142">
        <f t="shared" si="104"/>
        <v>393.388</v>
      </c>
      <c r="I59" s="116">
        <f t="shared" si="105"/>
        <v>123.92</v>
      </c>
      <c r="J59" s="116">
        <f t="shared" si="106"/>
        <v>7.0808</v>
      </c>
      <c r="K59" s="116">
        <f t="shared" si="107"/>
        <v>524.3888</v>
      </c>
      <c r="L59" s="120">
        <v>1</v>
      </c>
      <c r="M59" s="116">
        <f t="shared" si="108"/>
        <v>524.39</v>
      </c>
      <c r="N59" s="145">
        <v>25</v>
      </c>
      <c r="O59" s="116">
        <v>25</v>
      </c>
      <c r="P59" s="10">
        <v>10</v>
      </c>
      <c r="Q59" s="116"/>
      <c r="R59" s="130">
        <f t="shared" si="98"/>
        <v>60</v>
      </c>
      <c r="S59" s="119">
        <f t="shared" si="99"/>
        <v>584.39</v>
      </c>
      <c r="T59" s="145">
        <v>25</v>
      </c>
      <c r="U59" s="116">
        <v>25</v>
      </c>
      <c r="V59" s="10">
        <v>10</v>
      </c>
      <c r="W59" s="116"/>
      <c r="X59" s="130">
        <f t="shared" si="100"/>
        <v>2338.5576</v>
      </c>
      <c r="Y59" s="120">
        <v>1</v>
      </c>
      <c r="Z59" s="130">
        <f t="shared" si="101"/>
        <v>2339</v>
      </c>
    </row>
    <row r="60" s="1" customFormat="1" ht="18" customHeight="1" spans="1:26">
      <c r="A60" s="10">
        <v>441424</v>
      </c>
      <c r="B60" s="10" t="s">
        <v>99</v>
      </c>
      <c r="C60" s="10" t="s">
        <v>103</v>
      </c>
      <c r="D60" s="87">
        <f>VLOOKUP(C60,[1]摸底数!B:D,3,0)</f>
        <v>621220</v>
      </c>
      <c r="E60" s="87">
        <v>4403</v>
      </c>
      <c r="F60" s="141">
        <f t="shared" si="102"/>
        <v>430451</v>
      </c>
      <c r="G60" s="141">
        <f t="shared" si="103"/>
        <v>38741</v>
      </c>
      <c r="H60" s="142">
        <f t="shared" si="104"/>
        <v>860.902</v>
      </c>
      <c r="I60" s="116">
        <f t="shared" si="105"/>
        <v>271.18</v>
      </c>
      <c r="J60" s="116">
        <f t="shared" si="106"/>
        <v>15.4964</v>
      </c>
      <c r="K60" s="116">
        <f t="shared" si="107"/>
        <v>1147.5784</v>
      </c>
      <c r="L60" s="120">
        <v>1</v>
      </c>
      <c r="M60" s="116">
        <f t="shared" si="108"/>
        <v>1147.58</v>
      </c>
      <c r="N60" s="145">
        <v>25</v>
      </c>
      <c r="O60" s="116">
        <v>25</v>
      </c>
      <c r="P60" s="10">
        <v>10</v>
      </c>
      <c r="Q60" s="116"/>
      <c r="R60" s="130">
        <f t="shared" si="98"/>
        <v>60</v>
      </c>
      <c r="S60" s="119">
        <f t="shared" si="99"/>
        <v>1207.58</v>
      </c>
      <c r="T60" s="145">
        <v>25</v>
      </c>
      <c r="U60" s="116">
        <v>25</v>
      </c>
      <c r="V60" s="10">
        <v>10</v>
      </c>
      <c r="W60" s="116"/>
      <c r="X60" s="130">
        <f t="shared" si="100"/>
        <v>4831.3168</v>
      </c>
      <c r="Y60" s="120">
        <v>1</v>
      </c>
      <c r="Z60" s="130">
        <f t="shared" si="101"/>
        <v>4831</v>
      </c>
    </row>
    <row r="61" s="1" customFormat="1" ht="18" customHeight="1" spans="1:26">
      <c r="A61" s="10">
        <v>441426</v>
      </c>
      <c r="B61" s="10" t="s">
        <v>99</v>
      </c>
      <c r="C61" s="10" t="s">
        <v>104</v>
      </c>
      <c r="D61" s="87">
        <f>VLOOKUP(C61,[1]摸底数!B:D,3,0)</f>
        <v>95316</v>
      </c>
      <c r="E61" s="87">
        <v>4651</v>
      </c>
      <c r="F61" s="141">
        <f t="shared" si="102"/>
        <v>62070</v>
      </c>
      <c r="G61" s="141">
        <f t="shared" si="103"/>
        <v>5586</v>
      </c>
      <c r="H61" s="142">
        <f t="shared" si="104"/>
        <v>124.14</v>
      </c>
      <c r="I61" s="116">
        <f t="shared" si="105"/>
        <v>39.1</v>
      </c>
      <c r="J61" s="116">
        <f t="shared" si="106"/>
        <v>2.2344</v>
      </c>
      <c r="K61" s="116">
        <f t="shared" si="107"/>
        <v>165.4744</v>
      </c>
      <c r="L61" s="120">
        <v>1</v>
      </c>
      <c r="M61" s="116">
        <f t="shared" si="108"/>
        <v>165.47</v>
      </c>
      <c r="N61" s="145">
        <v>25</v>
      </c>
      <c r="O61" s="116">
        <v>25</v>
      </c>
      <c r="P61" s="10">
        <v>10</v>
      </c>
      <c r="Q61" s="116"/>
      <c r="R61" s="130">
        <f t="shared" si="98"/>
        <v>60</v>
      </c>
      <c r="S61" s="119">
        <f t="shared" si="99"/>
        <v>225.47</v>
      </c>
      <c r="T61" s="145">
        <v>25</v>
      </c>
      <c r="U61" s="116">
        <v>25</v>
      </c>
      <c r="V61" s="10">
        <v>10</v>
      </c>
      <c r="W61" s="116"/>
      <c r="X61" s="130">
        <f t="shared" si="100"/>
        <v>902.8888</v>
      </c>
      <c r="Y61" s="120">
        <v>1</v>
      </c>
      <c r="Z61" s="130">
        <f t="shared" si="101"/>
        <v>903</v>
      </c>
    </row>
    <row r="62" s="1" customFormat="1" ht="18" customHeight="1" spans="1:26">
      <c r="A62" s="10">
        <v>441427</v>
      </c>
      <c r="B62" s="10" t="s">
        <v>99</v>
      </c>
      <c r="C62" s="10" t="s">
        <v>105</v>
      </c>
      <c r="D62" s="87">
        <f>VLOOKUP(C62,[1]摸底数!B:D,3,0)</f>
        <v>114227</v>
      </c>
      <c r="E62" s="87">
        <v>6528</v>
      </c>
      <c r="F62" s="141">
        <f t="shared" si="102"/>
        <v>73431</v>
      </c>
      <c r="G62" s="141">
        <f t="shared" si="103"/>
        <v>6609</v>
      </c>
      <c r="H62" s="142">
        <f t="shared" si="104"/>
        <v>146.862</v>
      </c>
      <c r="I62" s="116">
        <f t="shared" si="105"/>
        <v>46.26</v>
      </c>
      <c r="J62" s="116">
        <f t="shared" si="106"/>
        <v>2.6436</v>
      </c>
      <c r="K62" s="116">
        <f t="shared" si="107"/>
        <v>195.7656</v>
      </c>
      <c r="L62" s="120">
        <v>1</v>
      </c>
      <c r="M62" s="116">
        <f t="shared" si="108"/>
        <v>195.77</v>
      </c>
      <c r="N62" s="145">
        <v>25</v>
      </c>
      <c r="O62" s="116">
        <v>25</v>
      </c>
      <c r="P62" s="10">
        <v>10</v>
      </c>
      <c r="Q62" s="116"/>
      <c r="R62" s="130">
        <f t="shared" si="98"/>
        <v>60</v>
      </c>
      <c r="S62" s="119">
        <f t="shared" si="99"/>
        <v>255.77</v>
      </c>
      <c r="T62" s="145">
        <v>25</v>
      </c>
      <c r="U62" s="116">
        <v>25</v>
      </c>
      <c r="V62" s="10">
        <v>10</v>
      </c>
      <c r="W62" s="116"/>
      <c r="X62" s="130">
        <f t="shared" si="100"/>
        <v>1024.0712</v>
      </c>
      <c r="Y62" s="120">
        <v>1</v>
      </c>
      <c r="Z62" s="130">
        <f t="shared" si="101"/>
        <v>1024</v>
      </c>
    </row>
    <row r="63" s="1" customFormat="1" ht="18" customHeight="1" spans="1:26">
      <c r="A63" s="10">
        <v>441481</v>
      </c>
      <c r="B63" s="10" t="s">
        <v>99</v>
      </c>
      <c r="C63" s="10" t="s">
        <v>106</v>
      </c>
      <c r="D63" s="87">
        <f>VLOOKUP(C63,[1]摸底数!B:D,3,0)</f>
        <v>485149</v>
      </c>
      <c r="E63" s="87">
        <v>23485</v>
      </c>
      <c r="F63" s="141">
        <f t="shared" si="102"/>
        <v>316119</v>
      </c>
      <c r="G63" s="141">
        <f t="shared" si="103"/>
        <v>28451</v>
      </c>
      <c r="H63" s="142">
        <f t="shared" si="104"/>
        <v>632.238</v>
      </c>
      <c r="I63" s="116">
        <f t="shared" si="105"/>
        <v>199.15</v>
      </c>
      <c r="J63" s="116">
        <f t="shared" si="106"/>
        <v>11.3804</v>
      </c>
      <c r="K63" s="116">
        <f t="shared" si="107"/>
        <v>842.7684</v>
      </c>
      <c r="L63" s="120">
        <v>1</v>
      </c>
      <c r="M63" s="116">
        <f t="shared" si="108"/>
        <v>842.77</v>
      </c>
      <c r="N63" s="145">
        <v>25</v>
      </c>
      <c r="O63" s="116">
        <v>25</v>
      </c>
      <c r="P63" s="10">
        <v>10</v>
      </c>
      <c r="Q63" s="116"/>
      <c r="R63" s="130">
        <f t="shared" si="98"/>
        <v>60</v>
      </c>
      <c r="S63" s="119">
        <f t="shared" si="99"/>
        <v>902.77</v>
      </c>
      <c r="T63" s="145">
        <v>25</v>
      </c>
      <c r="U63" s="116">
        <v>25</v>
      </c>
      <c r="V63" s="10">
        <v>10</v>
      </c>
      <c r="W63" s="116"/>
      <c r="X63" s="130">
        <f t="shared" si="100"/>
        <v>3612.0768</v>
      </c>
      <c r="Y63" s="120">
        <v>1</v>
      </c>
      <c r="Z63" s="130">
        <f t="shared" si="101"/>
        <v>3612</v>
      </c>
    </row>
    <row r="64" s="4" customFormat="1" ht="18" customHeight="1" spans="1:26">
      <c r="A64" s="22">
        <v>441500</v>
      </c>
      <c r="B64" s="22" t="s">
        <v>107</v>
      </c>
      <c r="C64" s="23" t="s">
        <v>108</v>
      </c>
      <c r="D64" s="140">
        <f t="shared" ref="D64:K64" si="109">SUM(D65:D68)</f>
        <v>1301477</v>
      </c>
      <c r="E64" s="140">
        <f t="shared" si="109"/>
        <v>14324</v>
      </c>
      <c r="F64" s="140">
        <f t="shared" si="109"/>
        <v>896710</v>
      </c>
      <c r="G64" s="140">
        <f t="shared" si="109"/>
        <v>80704</v>
      </c>
      <c r="H64" s="107">
        <f t="shared" si="109"/>
        <v>1793.42</v>
      </c>
      <c r="I64" s="107">
        <f t="shared" si="109"/>
        <v>564.92</v>
      </c>
      <c r="J64" s="107">
        <f t="shared" si="109"/>
        <v>32.2816</v>
      </c>
      <c r="K64" s="107">
        <f t="shared" si="109"/>
        <v>2390.6216</v>
      </c>
      <c r="L64" s="107"/>
      <c r="M64" s="107">
        <f t="shared" ref="M64:S64" si="110">SUM(M65:M68)</f>
        <v>2390.62</v>
      </c>
      <c r="N64" s="144">
        <f t="shared" si="110"/>
        <v>100</v>
      </c>
      <c r="O64" s="107">
        <f t="shared" si="110"/>
        <v>75</v>
      </c>
      <c r="P64" s="107">
        <f t="shared" si="110"/>
        <v>30</v>
      </c>
      <c r="Q64" s="107">
        <f t="shared" si="110"/>
        <v>0</v>
      </c>
      <c r="R64" s="107">
        <f t="shared" si="110"/>
        <v>205</v>
      </c>
      <c r="S64" s="107">
        <f t="shared" si="110"/>
        <v>2595.62</v>
      </c>
      <c r="T64" s="144">
        <f t="shared" ref="T64:X64" si="111">SUM(T65:T68)</f>
        <v>100</v>
      </c>
      <c r="U64" s="107">
        <f t="shared" si="111"/>
        <v>75</v>
      </c>
      <c r="V64" s="22"/>
      <c r="W64" s="107"/>
      <c r="X64" s="107">
        <f t="shared" si="111"/>
        <v>10386.3332</v>
      </c>
      <c r="Y64" s="140"/>
      <c r="Z64" s="107">
        <f>SUM(Z65:Z68)</f>
        <v>10372</v>
      </c>
    </row>
    <row r="65" s="4" customFormat="1" ht="18" customHeight="1" spans="1:26">
      <c r="A65" s="22"/>
      <c r="B65" s="22"/>
      <c r="C65" s="10" t="s">
        <v>58</v>
      </c>
      <c r="D65" s="140"/>
      <c r="E65" s="140"/>
      <c r="F65" s="140"/>
      <c r="G65" s="140"/>
      <c r="H65" s="107"/>
      <c r="I65" s="107"/>
      <c r="J65" s="107"/>
      <c r="K65" s="107"/>
      <c r="L65" s="120">
        <v>0.85</v>
      </c>
      <c r="M65" s="107"/>
      <c r="N65" s="145">
        <v>25</v>
      </c>
      <c r="O65" s="107"/>
      <c r="P65" s="22"/>
      <c r="Q65" s="107"/>
      <c r="R65" s="130">
        <f t="shared" ref="R65:R68" si="112">T65+U65+V65+W65</f>
        <v>25</v>
      </c>
      <c r="S65" s="119">
        <f t="shared" ref="S65:S68" si="113">M65+R65</f>
        <v>25</v>
      </c>
      <c r="T65" s="145">
        <v>25</v>
      </c>
      <c r="U65" s="107"/>
      <c r="V65" s="22"/>
      <c r="W65" s="107"/>
      <c r="X65" s="130">
        <f>SUM(H65:W65)</f>
        <v>100.85</v>
      </c>
      <c r="Y65" s="120">
        <v>0.85</v>
      </c>
      <c r="Z65" s="130">
        <f t="shared" ref="Z65:Z68" si="114">ROUND(X65*Y65,0)</f>
        <v>86</v>
      </c>
    </row>
    <row r="66" s="1" customFormat="1" ht="18" customHeight="1" spans="1:26">
      <c r="A66" s="10">
        <v>441521</v>
      </c>
      <c r="B66" s="10" t="s">
        <v>107</v>
      </c>
      <c r="C66" s="10" t="s">
        <v>109</v>
      </c>
      <c r="D66" s="87">
        <f>VLOOKUP(C66,[1]摸底数!B:D,3,0)</f>
        <v>478182</v>
      </c>
      <c r="E66" s="87">
        <v>8214</v>
      </c>
      <c r="F66" s="141">
        <f t="shared" ref="F66:F68" si="115">ROUND(D66*0.7-E66,0)</f>
        <v>326513</v>
      </c>
      <c r="G66" s="141">
        <f t="shared" ref="G66:G68" si="116">ROUND(F66*0.09,0)</f>
        <v>29386</v>
      </c>
      <c r="H66" s="142">
        <f t="shared" ref="H66:H68" si="117">F66*20/10000</f>
        <v>653.026</v>
      </c>
      <c r="I66" s="116">
        <f t="shared" ref="I66:I68" si="118">ROUND(F66*0.5*0.6*21/10000,2)</f>
        <v>205.7</v>
      </c>
      <c r="J66" s="116">
        <f t="shared" ref="J66:J68" si="119">G66*0.4*10/10000</f>
        <v>11.7544</v>
      </c>
      <c r="K66" s="116">
        <f t="shared" ref="K66:K68" si="120">H66+I66+J66</f>
        <v>870.4804</v>
      </c>
      <c r="L66" s="120">
        <v>1</v>
      </c>
      <c r="M66" s="116">
        <f t="shared" ref="M66:M68" si="121">ROUND(K66*L66,2)</f>
        <v>870.48</v>
      </c>
      <c r="N66" s="145">
        <v>25</v>
      </c>
      <c r="O66" s="116">
        <v>25</v>
      </c>
      <c r="P66" s="10">
        <v>10</v>
      </c>
      <c r="Q66" s="116"/>
      <c r="R66" s="130">
        <f t="shared" si="112"/>
        <v>60</v>
      </c>
      <c r="S66" s="119">
        <f t="shared" si="113"/>
        <v>930.48</v>
      </c>
      <c r="T66" s="145">
        <v>25</v>
      </c>
      <c r="U66" s="116">
        <v>25</v>
      </c>
      <c r="V66" s="10">
        <v>10</v>
      </c>
      <c r="W66" s="116"/>
      <c r="X66" s="130">
        <f>SUM(H66:W66)</f>
        <v>3722.9208</v>
      </c>
      <c r="Y66" s="120">
        <v>1</v>
      </c>
      <c r="Z66" s="130">
        <f t="shared" si="114"/>
        <v>3723</v>
      </c>
    </row>
    <row r="67" s="1" customFormat="1" ht="18" customHeight="1" spans="1:26">
      <c r="A67" s="10">
        <v>441523</v>
      </c>
      <c r="B67" s="10" t="s">
        <v>107</v>
      </c>
      <c r="C67" s="10" t="s">
        <v>110</v>
      </c>
      <c r="D67" s="87">
        <f>VLOOKUP(C67,[1]摸底数!B:D,3,0)</f>
        <v>100597</v>
      </c>
      <c r="E67" s="87">
        <v>368</v>
      </c>
      <c r="F67" s="141">
        <f t="shared" si="115"/>
        <v>70050</v>
      </c>
      <c r="G67" s="141">
        <f t="shared" si="116"/>
        <v>6305</v>
      </c>
      <c r="H67" s="142">
        <f t="shared" si="117"/>
        <v>140.1</v>
      </c>
      <c r="I67" s="116">
        <f t="shared" si="118"/>
        <v>44.13</v>
      </c>
      <c r="J67" s="116">
        <f t="shared" si="119"/>
        <v>2.522</v>
      </c>
      <c r="K67" s="116">
        <f t="shared" si="120"/>
        <v>186.752</v>
      </c>
      <c r="L67" s="120">
        <v>1</v>
      </c>
      <c r="M67" s="116">
        <f t="shared" si="121"/>
        <v>186.75</v>
      </c>
      <c r="N67" s="145">
        <v>25</v>
      </c>
      <c r="O67" s="116">
        <v>25</v>
      </c>
      <c r="P67" s="10">
        <v>10</v>
      </c>
      <c r="Q67" s="116"/>
      <c r="R67" s="130">
        <f t="shared" si="112"/>
        <v>60</v>
      </c>
      <c r="S67" s="119">
        <f t="shared" si="113"/>
        <v>246.75</v>
      </c>
      <c r="T67" s="145">
        <v>25</v>
      </c>
      <c r="U67" s="116">
        <v>25</v>
      </c>
      <c r="V67" s="10">
        <v>10</v>
      </c>
      <c r="W67" s="116"/>
      <c r="X67" s="130">
        <f>SUM(H67:W67)</f>
        <v>988.004</v>
      </c>
      <c r="Y67" s="120">
        <v>1</v>
      </c>
      <c r="Z67" s="130">
        <f t="shared" si="114"/>
        <v>988</v>
      </c>
    </row>
    <row r="68" s="1" customFormat="1" ht="18" customHeight="1" spans="1:26">
      <c r="A68" s="10">
        <v>441581</v>
      </c>
      <c r="B68" s="10" t="s">
        <v>107</v>
      </c>
      <c r="C68" s="10" t="s">
        <v>111</v>
      </c>
      <c r="D68" s="87">
        <f>VLOOKUP(C68,[1]摸底数!B:D,3,0)</f>
        <v>722698</v>
      </c>
      <c r="E68" s="87">
        <v>5742</v>
      </c>
      <c r="F68" s="141">
        <f t="shared" si="115"/>
        <v>500147</v>
      </c>
      <c r="G68" s="141">
        <f t="shared" si="116"/>
        <v>45013</v>
      </c>
      <c r="H68" s="142">
        <f t="shared" si="117"/>
        <v>1000.294</v>
      </c>
      <c r="I68" s="116">
        <f t="shared" si="118"/>
        <v>315.09</v>
      </c>
      <c r="J68" s="116">
        <f t="shared" si="119"/>
        <v>18.0052</v>
      </c>
      <c r="K68" s="116">
        <f t="shared" si="120"/>
        <v>1333.3892</v>
      </c>
      <c r="L68" s="120">
        <v>1</v>
      </c>
      <c r="M68" s="116">
        <f t="shared" si="121"/>
        <v>1333.39</v>
      </c>
      <c r="N68" s="145">
        <v>25</v>
      </c>
      <c r="O68" s="116">
        <v>25</v>
      </c>
      <c r="P68" s="10">
        <v>10</v>
      </c>
      <c r="Q68" s="116"/>
      <c r="R68" s="130">
        <f t="shared" si="112"/>
        <v>60</v>
      </c>
      <c r="S68" s="119">
        <f t="shared" si="113"/>
        <v>1393.39</v>
      </c>
      <c r="T68" s="145">
        <v>25</v>
      </c>
      <c r="U68" s="116">
        <v>25</v>
      </c>
      <c r="V68" s="10">
        <v>10</v>
      </c>
      <c r="W68" s="116"/>
      <c r="X68" s="130">
        <f>SUM(H68:W68)</f>
        <v>5574.5584</v>
      </c>
      <c r="Y68" s="120">
        <v>1</v>
      </c>
      <c r="Z68" s="130">
        <f t="shared" si="114"/>
        <v>5575</v>
      </c>
    </row>
    <row r="69" s="4" customFormat="1" ht="18" customHeight="1" spans="1:26">
      <c r="A69" s="22">
        <v>441600</v>
      </c>
      <c r="B69" s="22" t="s">
        <v>112</v>
      </c>
      <c r="C69" s="23" t="s">
        <v>113</v>
      </c>
      <c r="D69" s="140">
        <f t="shared" ref="D69:K69" si="122">SUM(D70:D75)</f>
        <v>1266965</v>
      </c>
      <c r="E69" s="140">
        <f t="shared" si="122"/>
        <v>54887</v>
      </c>
      <c r="F69" s="140">
        <f t="shared" si="122"/>
        <v>831987</v>
      </c>
      <c r="G69" s="140">
        <f t="shared" si="122"/>
        <v>74879</v>
      </c>
      <c r="H69" s="107">
        <f t="shared" si="122"/>
        <v>1663.974</v>
      </c>
      <c r="I69" s="107">
        <f t="shared" si="122"/>
        <v>524.16</v>
      </c>
      <c r="J69" s="107">
        <f t="shared" si="122"/>
        <v>29.9516</v>
      </c>
      <c r="K69" s="107">
        <f t="shared" si="122"/>
        <v>2218.0856</v>
      </c>
      <c r="L69" s="107"/>
      <c r="M69" s="107">
        <f t="shared" ref="M69:S69" si="123">SUM(M70:M75)</f>
        <v>2160.56</v>
      </c>
      <c r="N69" s="144">
        <f t="shared" si="123"/>
        <v>150</v>
      </c>
      <c r="O69" s="107">
        <f t="shared" si="123"/>
        <v>125</v>
      </c>
      <c r="P69" s="107">
        <f t="shared" si="123"/>
        <v>50</v>
      </c>
      <c r="Q69" s="107">
        <f t="shared" si="123"/>
        <v>0</v>
      </c>
      <c r="R69" s="107">
        <f t="shared" si="123"/>
        <v>325</v>
      </c>
      <c r="S69" s="107">
        <f t="shared" si="123"/>
        <v>2485.56</v>
      </c>
      <c r="T69" s="144">
        <f t="shared" ref="T69:X69" si="124">SUM(T70:T75)</f>
        <v>150</v>
      </c>
      <c r="U69" s="107">
        <f t="shared" si="124"/>
        <v>125</v>
      </c>
      <c r="V69" s="22"/>
      <c r="W69" s="107"/>
      <c r="X69" s="107">
        <f t="shared" si="124"/>
        <v>10062.9912</v>
      </c>
      <c r="Y69" s="140"/>
      <c r="Z69" s="107">
        <f>SUM(Z70:Z75)</f>
        <v>9799</v>
      </c>
    </row>
    <row r="70" s="4" customFormat="1" ht="18" customHeight="1" spans="1:26">
      <c r="A70" s="22"/>
      <c r="B70" s="22"/>
      <c r="C70" s="10" t="s">
        <v>58</v>
      </c>
      <c r="D70" s="140"/>
      <c r="E70" s="140"/>
      <c r="F70" s="140"/>
      <c r="G70" s="140"/>
      <c r="H70" s="107"/>
      <c r="I70" s="107"/>
      <c r="J70" s="107"/>
      <c r="K70" s="107"/>
      <c r="L70" s="120">
        <v>0.85</v>
      </c>
      <c r="M70" s="107"/>
      <c r="N70" s="145">
        <v>25</v>
      </c>
      <c r="O70" s="107"/>
      <c r="P70" s="22"/>
      <c r="Q70" s="107"/>
      <c r="R70" s="130">
        <f t="shared" ref="R70:R75" si="125">T70+U70+V70+W70</f>
        <v>25</v>
      </c>
      <c r="S70" s="119">
        <f t="shared" ref="S70:S75" si="126">M70+R70</f>
        <v>25</v>
      </c>
      <c r="T70" s="145">
        <v>25</v>
      </c>
      <c r="U70" s="107"/>
      <c r="V70" s="22"/>
      <c r="W70" s="107"/>
      <c r="X70" s="130">
        <f t="shared" ref="X70:X75" si="127">SUM(H70:W70)</f>
        <v>100.85</v>
      </c>
      <c r="Y70" s="120">
        <v>0.85</v>
      </c>
      <c r="Z70" s="130">
        <f t="shared" ref="Z70:Z75" si="128">ROUND(X70*Y70,0)</f>
        <v>86</v>
      </c>
    </row>
    <row r="71" s="1" customFormat="1" ht="18" customHeight="1" spans="1:26">
      <c r="A71" s="10">
        <v>441621</v>
      </c>
      <c r="B71" s="10" t="s">
        <v>112</v>
      </c>
      <c r="C71" s="10" t="s">
        <v>114</v>
      </c>
      <c r="D71" s="87">
        <f>VLOOKUP(C71,[1]摸底数!B:D,3,0)</f>
        <v>318346</v>
      </c>
      <c r="E71" s="87">
        <v>17222</v>
      </c>
      <c r="F71" s="141">
        <f t="shared" ref="F71:F75" si="129">ROUND(D71*0.7-E71,0)</f>
        <v>205620</v>
      </c>
      <c r="G71" s="141">
        <f t="shared" ref="G71:G75" si="130">ROUND(F71*0.09,0)</f>
        <v>18506</v>
      </c>
      <c r="H71" s="142">
        <f t="shared" ref="H71:H75" si="131">F71*20/10000</f>
        <v>411.24</v>
      </c>
      <c r="I71" s="116">
        <f t="shared" ref="I71:I75" si="132">ROUND(F71*0.5*0.6*21/10000,2)</f>
        <v>129.54</v>
      </c>
      <c r="J71" s="116">
        <f t="shared" ref="J71:J75" si="133">G71*0.4*10/10000</f>
        <v>7.4024</v>
      </c>
      <c r="K71" s="116">
        <f t="shared" ref="K71:K75" si="134">H71+I71+J71</f>
        <v>548.1824</v>
      </c>
      <c r="L71" s="120">
        <v>1</v>
      </c>
      <c r="M71" s="116">
        <f t="shared" ref="M71:M75" si="135">ROUND(K71*L71,2)</f>
        <v>548.18</v>
      </c>
      <c r="N71" s="145">
        <v>25</v>
      </c>
      <c r="O71" s="116">
        <v>25</v>
      </c>
      <c r="P71" s="10">
        <v>10</v>
      </c>
      <c r="Q71" s="116"/>
      <c r="R71" s="130">
        <f t="shared" si="125"/>
        <v>60</v>
      </c>
      <c r="S71" s="119">
        <f t="shared" si="126"/>
        <v>608.18</v>
      </c>
      <c r="T71" s="145">
        <v>25</v>
      </c>
      <c r="U71" s="116">
        <v>25</v>
      </c>
      <c r="V71" s="10">
        <v>10</v>
      </c>
      <c r="W71" s="116"/>
      <c r="X71" s="130">
        <f t="shared" si="127"/>
        <v>2433.7248</v>
      </c>
      <c r="Y71" s="120">
        <v>1</v>
      </c>
      <c r="Z71" s="130">
        <f t="shared" si="128"/>
        <v>2434</v>
      </c>
    </row>
    <row r="72" s="1" customFormat="1" ht="18" customHeight="1" spans="1:26">
      <c r="A72" s="10">
        <v>441622</v>
      </c>
      <c r="B72" s="10" t="s">
        <v>112</v>
      </c>
      <c r="C72" s="10" t="s">
        <v>115</v>
      </c>
      <c r="D72" s="87">
        <f>VLOOKUP(C72,[1]摸底数!B:D,3,0)</f>
        <v>349329</v>
      </c>
      <c r="E72" s="87">
        <v>22814</v>
      </c>
      <c r="F72" s="141">
        <f t="shared" si="129"/>
        <v>221716</v>
      </c>
      <c r="G72" s="141">
        <f t="shared" si="130"/>
        <v>19954</v>
      </c>
      <c r="H72" s="142">
        <f t="shared" si="131"/>
        <v>443.432</v>
      </c>
      <c r="I72" s="116">
        <f t="shared" si="132"/>
        <v>139.68</v>
      </c>
      <c r="J72" s="116">
        <f t="shared" si="133"/>
        <v>7.9816</v>
      </c>
      <c r="K72" s="116">
        <f t="shared" si="134"/>
        <v>591.0936</v>
      </c>
      <c r="L72" s="120">
        <v>1</v>
      </c>
      <c r="M72" s="116">
        <f t="shared" si="135"/>
        <v>591.09</v>
      </c>
      <c r="N72" s="145">
        <v>25</v>
      </c>
      <c r="O72" s="116">
        <v>25</v>
      </c>
      <c r="P72" s="10">
        <v>10</v>
      </c>
      <c r="Q72" s="116"/>
      <c r="R72" s="130">
        <f t="shared" si="125"/>
        <v>60</v>
      </c>
      <c r="S72" s="119">
        <f t="shared" si="126"/>
        <v>651.09</v>
      </c>
      <c r="T72" s="145">
        <v>25</v>
      </c>
      <c r="U72" s="116">
        <v>25</v>
      </c>
      <c r="V72" s="10">
        <v>10</v>
      </c>
      <c r="W72" s="116"/>
      <c r="X72" s="130">
        <f t="shared" si="127"/>
        <v>2605.3672</v>
      </c>
      <c r="Y72" s="120">
        <v>1</v>
      </c>
      <c r="Z72" s="130">
        <f t="shared" si="128"/>
        <v>2605</v>
      </c>
    </row>
    <row r="73" s="1" customFormat="1" ht="18" customHeight="1" spans="1:26">
      <c r="A73" s="10">
        <v>441623</v>
      </c>
      <c r="B73" s="10" t="s">
        <v>112</v>
      </c>
      <c r="C73" s="10" t="s">
        <v>116</v>
      </c>
      <c r="D73" s="87">
        <f>VLOOKUP(C73,[1]摸底数!B:D,3,0)</f>
        <v>176812</v>
      </c>
      <c r="E73" s="87">
        <v>6236</v>
      </c>
      <c r="F73" s="141">
        <f t="shared" si="129"/>
        <v>117532</v>
      </c>
      <c r="G73" s="141">
        <f t="shared" si="130"/>
        <v>10578</v>
      </c>
      <c r="H73" s="142">
        <f t="shared" si="131"/>
        <v>235.064</v>
      </c>
      <c r="I73" s="116">
        <f t="shared" si="132"/>
        <v>74.05</v>
      </c>
      <c r="J73" s="116">
        <f t="shared" si="133"/>
        <v>4.2312</v>
      </c>
      <c r="K73" s="116">
        <f t="shared" si="134"/>
        <v>313.3452</v>
      </c>
      <c r="L73" s="120">
        <v>1</v>
      </c>
      <c r="M73" s="116">
        <f t="shared" si="135"/>
        <v>313.35</v>
      </c>
      <c r="N73" s="145">
        <v>25</v>
      </c>
      <c r="O73" s="116">
        <v>25</v>
      </c>
      <c r="P73" s="10">
        <v>10</v>
      </c>
      <c r="Q73" s="116"/>
      <c r="R73" s="130">
        <f t="shared" si="125"/>
        <v>60</v>
      </c>
      <c r="S73" s="119">
        <f t="shared" si="126"/>
        <v>373.35</v>
      </c>
      <c r="T73" s="145">
        <v>25</v>
      </c>
      <c r="U73" s="116">
        <v>25</v>
      </c>
      <c r="V73" s="10">
        <v>10</v>
      </c>
      <c r="W73" s="116"/>
      <c r="X73" s="130">
        <f t="shared" si="127"/>
        <v>1494.3904</v>
      </c>
      <c r="Y73" s="120">
        <v>1</v>
      </c>
      <c r="Z73" s="130">
        <f t="shared" si="128"/>
        <v>1494</v>
      </c>
    </row>
    <row r="74" s="1" customFormat="1" ht="18" customHeight="1" spans="1:26">
      <c r="A74" s="10">
        <v>441624</v>
      </c>
      <c r="B74" s="10" t="s">
        <v>112</v>
      </c>
      <c r="C74" s="10" t="s">
        <v>117</v>
      </c>
      <c r="D74" s="87">
        <f>VLOOKUP(C74,[1]摸底数!B:D,3,0)</f>
        <v>207762</v>
      </c>
      <c r="E74" s="87">
        <v>2169</v>
      </c>
      <c r="F74" s="141">
        <f t="shared" si="129"/>
        <v>143264</v>
      </c>
      <c r="G74" s="141">
        <f t="shared" si="130"/>
        <v>12894</v>
      </c>
      <c r="H74" s="142">
        <f t="shared" si="131"/>
        <v>286.528</v>
      </c>
      <c r="I74" s="116">
        <f t="shared" si="132"/>
        <v>90.26</v>
      </c>
      <c r="J74" s="116">
        <f t="shared" si="133"/>
        <v>5.1576</v>
      </c>
      <c r="K74" s="116">
        <f t="shared" si="134"/>
        <v>381.9456</v>
      </c>
      <c r="L74" s="120">
        <v>1</v>
      </c>
      <c r="M74" s="116">
        <f t="shared" si="135"/>
        <v>381.95</v>
      </c>
      <c r="N74" s="145">
        <v>25</v>
      </c>
      <c r="O74" s="116">
        <v>25</v>
      </c>
      <c r="P74" s="10">
        <v>10</v>
      </c>
      <c r="Q74" s="116"/>
      <c r="R74" s="130">
        <f t="shared" si="125"/>
        <v>60</v>
      </c>
      <c r="S74" s="119">
        <f t="shared" si="126"/>
        <v>441.95</v>
      </c>
      <c r="T74" s="145">
        <v>25</v>
      </c>
      <c r="U74" s="116">
        <v>25</v>
      </c>
      <c r="V74" s="10">
        <v>10</v>
      </c>
      <c r="W74" s="116"/>
      <c r="X74" s="130">
        <f t="shared" si="127"/>
        <v>1768.7912</v>
      </c>
      <c r="Y74" s="120">
        <v>1</v>
      </c>
      <c r="Z74" s="130">
        <f t="shared" si="128"/>
        <v>1769</v>
      </c>
    </row>
    <row r="75" s="1" customFormat="1" ht="18" customHeight="1" spans="1:26">
      <c r="A75" s="10">
        <v>441625</v>
      </c>
      <c r="B75" s="10" t="s">
        <v>112</v>
      </c>
      <c r="C75" s="10" t="s">
        <v>118</v>
      </c>
      <c r="D75" s="87">
        <f>VLOOKUP(C75,[1]摸底数!B:D,3,0)</f>
        <v>214716</v>
      </c>
      <c r="E75" s="87">
        <v>6446</v>
      </c>
      <c r="F75" s="141">
        <f t="shared" si="129"/>
        <v>143855</v>
      </c>
      <c r="G75" s="141">
        <f t="shared" si="130"/>
        <v>12947</v>
      </c>
      <c r="H75" s="142">
        <f t="shared" si="131"/>
        <v>287.71</v>
      </c>
      <c r="I75" s="116">
        <f t="shared" si="132"/>
        <v>90.63</v>
      </c>
      <c r="J75" s="116">
        <f t="shared" si="133"/>
        <v>5.1788</v>
      </c>
      <c r="K75" s="116">
        <f t="shared" si="134"/>
        <v>383.5188</v>
      </c>
      <c r="L75" s="120">
        <v>0.85</v>
      </c>
      <c r="M75" s="116">
        <f t="shared" si="135"/>
        <v>325.99</v>
      </c>
      <c r="N75" s="145">
        <v>25</v>
      </c>
      <c r="O75" s="116">
        <v>25</v>
      </c>
      <c r="P75" s="10">
        <v>10</v>
      </c>
      <c r="Q75" s="116"/>
      <c r="R75" s="130">
        <f t="shared" si="125"/>
        <v>60</v>
      </c>
      <c r="S75" s="119">
        <f t="shared" si="126"/>
        <v>385.99</v>
      </c>
      <c r="T75" s="145">
        <v>25</v>
      </c>
      <c r="U75" s="116">
        <v>25</v>
      </c>
      <c r="V75" s="10">
        <v>10</v>
      </c>
      <c r="W75" s="116"/>
      <c r="X75" s="130">
        <f t="shared" si="127"/>
        <v>1659.8676</v>
      </c>
      <c r="Y75" s="120">
        <v>0.85</v>
      </c>
      <c r="Z75" s="130">
        <f t="shared" si="128"/>
        <v>1411</v>
      </c>
    </row>
    <row r="76" s="4" customFormat="1" ht="18" customHeight="1" spans="1:26">
      <c r="A76" s="22">
        <v>441700</v>
      </c>
      <c r="B76" s="22" t="s">
        <v>119</v>
      </c>
      <c r="C76" s="23" t="s">
        <v>120</v>
      </c>
      <c r="D76" s="140">
        <f t="shared" ref="D76:K76" si="136">SUM(D77:D79)</f>
        <v>859387</v>
      </c>
      <c r="E76" s="140">
        <f t="shared" si="136"/>
        <v>44882</v>
      </c>
      <c r="F76" s="140">
        <f t="shared" si="136"/>
        <v>556689</v>
      </c>
      <c r="G76" s="140">
        <f t="shared" si="136"/>
        <v>50102</v>
      </c>
      <c r="H76" s="107">
        <f t="shared" si="136"/>
        <v>1113.378</v>
      </c>
      <c r="I76" s="107">
        <f t="shared" si="136"/>
        <v>350.72</v>
      </c>
      <c r="J76" s="107">
        <f t="shared" si="136"/>
        <v>20.0408</v>
      </c>
      <c r="K76" s="107">
        <f t="shared" si="136"/>
        <v>1484.1388</v>
      </c>
      <c r="L76" s="107"/>
      <c r="M76" s="107">
        <f t="shared" ref="M76:S76" si="137">SUM(M77:M79)</f>
        <v>1261.51</v>
      </c>
      <c r="N76" s="144">
        <f t="shared" si="137"/>
        <v>75</v>
      </c>
      <c r="O76" s="107">
        <f t="shared" si="137"/>
        <v>50</v>
      </c>
      <c r="P76" s="107">
        <f t="shared" si="137"/>
        <v>20</v>
      </c>
      <c r="Q76" s="107">
        <f t="shared" si="137"/>
        <v>0</v>
      </c>
      <c r="R76" s="107">
        <f t="shared" si="137"/>
        <v>145</v>
      </c>
      <c r="S76" s="107">
        <f t="shared" si="137"/>
        <v>1406.51</v>
      </c>
      <c r="T76" s="144">
        <f t="shared" ref="T76:X76" si="138">SUM(T77:T79)</f>
        <v>75</v>
      </c>
      <c r="U76" s="107">
        <f t="shared" si="138"/>
        <v>50</v>
      </c>
      <c r="V76" s="22"/>
      <c r="W76" s="107"/>
      <c r="X76" s="107">
        <f t="shared" si="138"/>
        <v>6073.8476</v>
      </c>
      <c r="Y76" s="140"/>
      <c r="Z76" s="107">
        <f>SUM(Z77:Z79)</f>
        <v>5163</v>
      </c>
    </row>
    <row r="77" s="4" customFormat="1" ht="18" customHeight="1" spans="1:26">
      <c r="A77" s="22"/>
      <c r="B77" s="22"/>
      <c r="C77" s="10" t="s">
        <v>58</v>
      </c>
      <c r="D77" s="140"/>
      <c r="E77" s="140"/>
      <c r="F77" s="140"/>
      <c r="G77" s="140"/>
      <c r="H77" s="107"/>
      <c r="I77" s="107"/>
      <c r="J77" s="107"/>
      <c r="K77" s="107"/>
      <c r="L77" s="120">
        <v>0.85</v>
      </c>
      <c r="M77" s="107"/>
      <c r="N77" s="145">
        <v>25</v>
      </c>
      <c r="O77" s="107"/>
      <c r="P77" s="22"/>
      <c r="Q77" s="107"/>
      <c r="R77" s="130">
        <f t="shared" ref="R77:R79" si="139">T77+U77+V77+W77</f>
        <v>25</v>
      </c>
      <c r="S77" s="119">
        <f t="shared" ref="S77:S79" si="140">M77+R77</f>
        <v>25</v>
      </c>
      <c r="T77" s="145">
        <v>25</v>
      </c>
      <c r="U77" s="107"/>
      <c r="V77" s="22"/>
      <c r="W77" s="107"/>
      <c r="X77" s="130">
        <f>SUM(H77:W77)</f>
        <v>100.85</v>
      </c>
      <c r="Y77" s="120">
        <v>0.85</v>
      </c>
      <c r="Z77" s="130">
        <f t="shared" ref="Z77:Z79" si="141">ROUND(X77*Y77,0)</f>
        <v>86</v>
      </c>
    </row>
    <row r="78" s="1" customFormat="1" ht="18" customHeight="1" spans="1:26">
      <c r="A78" s="10">
        <v>441721</v>
      </c>
      <c r="B78" s="10" t="s">
        <v>119</v>
      </c>
      <c r="C78" s="10" t="s">
        <v>121</v>
      </c>
      <c r="D78" s="87">
        <f>VLOOKUP(C78,[1]摸底数!B:D,3,0)</f>
        <v>298294</v>
      </c>
      <c r="E78" s="87">
        <v>10447</v>
      </c>
      <c r="F78" s="141">
        <f t="shared" ref="F78:F87" si="142">ROUND(D78*0.7-E78,0)</f>
        <v>198359</v>
      </c>
      <c r="G78" s="141">
        <f t="shared" ref="G78:G87" si="143">ROUND(F78*0.09,0)</f>
        <v>17852</v>
      </c>
      <c r="H78" s="142">
        <f t="shared" ref="H78:H87" si="144">F78*20/10000</f>
        <v>396.718</v>
      </c>
      <c r="I78" s="116">
        <f t="shared" ref="I78:I87" si="145">ROUND(F78*0.5*0.6*21/10000,2)</f>
        <v>124.97</v>
      </c>
      <c r="J78" s="116">
        <f t="shared" ref="J78:J87" si="146">G78*0.4*10/10000</f>
        <v>7.1408</v>
      </c>
      <c r="K78" s="116">
        <f t="shared" ref="K78:K87" si="147">H78+I78+J78</f>
        <v>528.8288</v>
      </c>
      <c r="L78" s="120">
        <v>0.85</v>
      </c>
      <c r="M78" s="116">
        <f t="shared" ref="M78:M87" si="148">ROUND(K78*L78,2)</f>
        <v>449.5</v>
      </c>
      <c r="N78" s="145">
        <v>25</v>
      </c>
      <c r="O78" s="116">
        <v>25</v>
      </c>
      <c r="P78" s="10">
        <v>10</v>
      </c>
      <c r="Q78" s="116"/>
      <c r="R78" s="130">
        <f t="shared" si="139"/>
        <v>60</v>
      </c>
      <c r="S78" s="119">
        <f t="shared" si="140"/>
        <v>509.5</v>
      </c>
      <c r="T78" s="145">
        <v>25</v>
      </c>
      <c r="U78" s="116">
        <v>25</v>
      </c>
      <c r="V78" s="10">
        <v>10</v>
      </c>
      <c r="W78" s="116"/>
      <c r="X78" s="130">
        <f>SUM(H78:W78)</f>
        <v>2197.5076</v>
      </c>
      <c r="Y78" s="120">
        <v>0.85</v>
      </c>
      <c r="Z78" s="130">
        <f t="shared" si="141"/>
        <v>1868</v>
      </c>
    </row>
    <row r="79" s="1" customFormat="1" ht="18" customHeight="1" spans="1:26">
      <c r="A79" s="10">
        <v>441781</v>
      </c>
      <c r="B79" s="10" t="s">
        <v>119</v>
      </c>
      <c r="C79" s="10" t="s">
        <v>122</v>
      </c>
      <c r="D79" s="87">
        <f>VLOOKUP(C79,[1]摸底数!B:D,3,0)</f>
        <v>561093</v>
      </c>
      <c r="E79" s="87">
        <v>34435</v>
      </c>
      <c r="F79" s="141">
        <f t="shared" si="142"/>
        <v>358330</v>
      </c>
      <c r="G79" s="141">
        <f t="shared" si="143"/>
        <v>32250</v>
      </c>
      <c r="H79" s="142">
        <f t="shared" si="144"/>
        <v>716.66</v>
      </c>
      <c r="I79" s="116">
        <f t="shared" si="145"/>
        <v>225.75</v>
      </c>
      <c r="J79" s="116">
        <f t="shared" si="146"/>
        <v>12.9</v>
      </c>
      <c r="K79" s="116">
        <f t="shared" si="147"/>
        <v>955.31</v>
      </c>
      <c r="L79" s="120">
        <v>0.85</v>
      </c>
      <c r="M79" s="116">
        <f t="shared" si="148"/>
        <v>812.01</v>
      </c>
      <c r="N79" s="145">
        <v>25</v>
      </c>
      <c r="O79" s="116">
        <v>25</v>
      </c>
      <c r="P79" s="10">
        <v>10</v>
      </c>
      <c r="Q79" s="116"/>
      <c r="R79" s="130">
        <f t="shared" si="139"/>
        <v>60</v>
      </c>
      <c r="S79" s="119">
        <f t="shared" si="140"/>
        <v>872.01</v>
      </c>
      <c r="T79" s="145">
        <v>25</v>
      </c>
      <c r="U79" s="116">
        <v>25</v>
      </c>
      <c r="V79" s="10">
        <v>10</v>
      </c>
      <c r="W79" s="116"/>
      <c r="X79" s="130">
        <f>SUM(H79:W79)</f>
        <v>3775.49</v>
      </c>
      <c r="Y79" s="120">
        <v>0.85</v>
      </c>
      <c r="Z79" s="130">
        <f t="shared" si="141"/>
        <v>3209</v>
      </c>
    </row>
    <row r="80" s="4" customFormat="1" ht="18" customHeight="1" spans="1:26">
      <c r="A80" s="22"/>
      <c r="B80" s="22"/>
      <c r="C80" s="23" t="s">
        <v>123</v>
      </c>
      <c r="D80" s="140">
        <f t="shared" ref="D80:K80" si="149">SUM(D81:D87)</f>
        <v>1262547</v>
      </c>
      <c r="E80" s="140">
        <f t="shared" si="149"/>
        <v>91745</v>
      </c>
      <c r="F80" s="140">
        <f t="shared" si="149"/>
        <v>792039</v>
      </c>
      <c r="G80" s="140">
        <f t="shared" si="149"/>
        <v>71284</v>
      </c>
      <c r="H80" s="107">
        <f t="shared" si="149"/>
        <v>1584.078</v>
      </c>
      <c r="I80" s="107">
        <f t="shared" si="149"/>
        <v>498.98</v>
      </c>
      <c r="J80" s="107">
        <f t="shared" si="149"/>
        <v>28.5136</v>
      </c>
      <c r="K80" s="107">
        <f t="shared" si="149"/>
        <v>2111.5716</v>
      </c>
      <c r="L80" s="107"/>
      <c r="M80" s="107">
        <f t="shared" ref="M80:S80" si="150">SUM(M81:M87)</f>
        <v>1825.4</v>
      </c>
      <c r="N80" s="144">
        <f t="shared" si="150"/>
        <v>175</v>
      </c>
      <c r="O80" s="107">
        <f t="shared" si="150"/>
        <v>150</v>
      </c>
      <c r="P80" s="107">
        <f t="shared" si="150"/>
        <v>60</v>
      </c>
      <c r="Q80" s="107">
        <f t="shared" si="150"/>
        <v>0</v>
      </c>
      <c r="R80" s="107">
        <f t="shared" si="150"/>
        <v>385</v>
      </c>
      <c r="S80" s="107">
        <f t="shared" si="150"/>
        <v>2210.4</v>
      </c>
      <c r="T80" s="144">
        <f t="shared" ref="T80:X80" si="151">SUM(T81:T87)</f>
        <v>175</v>
      </c>
      <c r="U80" s="107">
        <f t="shared" si="151"/>
        <v>150</v>
      </c>
      <c r="V80" s="22"/>
      <c r="W80" s="107"/>
      <c r="X80" s="107">
        <f t="shared" si="151"/>
        <v>9420.1932</v>
      </c>
      <c r="Y80" s="140"/>
      <c r="Z80" s="107">
        <f>SUM(Z81:Z87)</f>
        <v>8201</v>
      </c>
    </row>
    <row r="81" s="4" customFormat="1" ht="18" customHeight="1" spans="1:26">
      <c r="A81" s="22"/>
      <c r="B81" s="22"/>
      <c r="C81" s="10" t="s">
        <v>58</v>
      </c>
      <c r="D81" s="140"/>
      <c r="E81" s="140"/>
      <c r="F81" s="140"/>
      <c r="G81" s="140"/>
      <c r="H81" s="107"/>
      <c r="I81" s="107"/>
      <c r="J81" s="107"/>
      <c r="K81" s="107"/>
      <c r="L81" s="120">
        <v>0.85</v>
      </c>
      <c r="M81" s="107"/>
      <c r="N81" s="145">
        <v>25</v>
      </c>
      <c r="O81" s="107"/>
      <c r="P81" s="22"/>
      <c r="Q81" s="107"/>
      <c r="R81" s="130">
        <f t="shared" ref="R81:R87" si="152">T81+U81+V81+W81</f>
        <v>25</v>
      </c>
      <c r="S81" s="119">
        <f t="shared" ref="S81:S87" si="153">M81+R81</f>
        <v>25</v>
      </c>
      <c r="T81" s="145">
        <v>25</v>
      </c>
      <c r="U81" s="107"/>
      <c r="V81" s="22"/>
      <c r="W81" s="107"/>
      <c r="X81" s="130">
        <f t="shared" ref="X81:X87" si="154">SUM(H81:W81)</f>
        <v>100.85</v>
      </c>
      <c r="Y81" s="120">
        <v>0.85</v>
      </c>
      <c r="Z81" s="130">
        <f t="shared" ref="Z81:Z87" si="155">ROUND(X81*Y81,0)</f>
        <v>86</v>
      </c>
    </row>
    <row r="82" s="1" customFormat="1" ht="18" customHeight="1" spans="1:26">
      <c r="A82" s="10">
        <v>441821</v>
      </c>
      <c r="B82" s="10" t="s">
        <v>124</v>
      </c>
      <c r="C82" s="10" t="s">
        <v>125</v>
      </c>
      <c r="D82" s="87">
        <f>VLOOKUP(C82,[1]摸底数!B:D,3,0)</f>
        <v>205323</v>
      </c>
      <c r="E82" s="87">
        <v>9832</v>
      </c>
      <c r="F82" s="141">
        <f t="shared" si="142"/>
        <v>133894</v>
      </c>
      <c r="G82" s="141">
        <f t="shared" si="143"/>
        <v>12050</v>
      </c>
      <c r="H82" s="142">
        <f t="shared" si="144"/>
        <v>267.788</v>
      </c>
      <c r="I82" s="116">
        <f t="shared" si="145"/>
        <v>84.35</v>
      </c>
      <c r="J82" s="116">
        <f t="shared" si="146"/>
        <v>4.82</v>
      </c>
      <c r="K82" s="116">
        <f t="shared" si="147"/>
        <v>356.958</v>
      </c>
      <c r="L82" s="120">
        <v>0.85</v>
      </c>
      <c r="M82" s="116">
        <f t="shared" si="148"/>
        <v>303.41</v>
      </c>
      <c r="N82" s="145">
        <v>25</v>
      </c>
      <c r="O82" s="116">
        <v>25</v>
      </c>
      <c r="P82" s="10">
        <v>10</v>
      </c>
      <c r="Q82" s="116"/>
      <c r="R82" s="130">
        <f t="shared" si="152"/>
        <v>60</v>
      </c>
      <c r="S82" s="119">
        <f t="shared" si="153"/>
        <v>363.41</v>
      </c>
      <c r="T82" s="145">
        <v>25</v>
      </c>
      <c r="U82" s="116">
        <v>25</v>
      </c>
      <c r="V82" s="10">
        <v>10</v>
      </c>
      <c r="W82" s="116"/>
      <c r="X82" s="130">
        <f t="shared" si="154"/>
        <v>1561.586</v>
      </c>
      <c r="Y82" s="120">
        <v>0.85</v>
      </c>
      <c r="Z82" s="130">
        <f t="shared" si="155"/>
        <v>1327</v>
      </c>
    </row>
    <row r="83" s="1" customFormat="1" ht="18" customHeight="1" spans="1:26">
      <c r="A83" s="10">
        <v>441823</v>
      </c>
      <c r="B83" s="10" t="s">
        <v>124</v>
      </c>
      <c r="C83" s="10" t="s">
        <v>126</v>
      </c>
      <c r="D83" s="87">
        <f>VLOOKUP(C83,[1]摸底数!B:D,3,0)</f>
        <v>226254</v>
      </c>
      <c r="E83" s="87">
        <v>12905</v>
      </c>
      <c r="F83" s="141">
        <f t="shared" si="142"/>
        <v>145473</v>
      </c>
      <c r="G83" s="141">
        <f t="shared" si="143"/>
        <v>13093</v>
      </c>
      <c r="H83" s="142">
        <f t="shared" si="144"/>
        <v>290.946</v>
      </c>
      <c r="I83" s="116">
        <f t="shared" si="145"/>
        <v>91.65</v>
      </c>
      <c r="J83" s="116">
        <f t="shared" si="146"/>
        <v>5.2372</v>
      </c>
      <c r="K83" s="116">
        <f t="shared" si="147"/>
        <v>387.8332</v>
      </c>
      <c r="L83" s="120">
        <v>0.85</v>
      </c>
      <c r="M83" s="116">
        <f t="shared" si="148"/>
        <v>329.66</v>
      </c>
      <c r="N83" s="145">
        <v>25</v>
      </c>
      <c r="O83" s="116">
        <v>25</v>
      </c>
      <c r="P83" s="10">
        <v>10</v>
      </c>
      <c r="Q83" s="116"/>
      <c r="R83" s="130">
        <f t="shared" si="152"/>
        <v>60</v>
      </c>
      <c r="S83" s="119">
        <f t="shared" si="153"/>
        <v>389.66</v>
      </c>
      <c r="T83" s="145">
        <v>25</v>
      </c>
      <c r="U83" s="116">
        <v>25</v>
      </c>
      <c r="V83" s="10">
        <v>10</v>
      </c>
      <c r="W83" s="116"/>
      <c r="X83" s="130">
        <f t="shared" si="154"/>
        <v>1675.8364</v>
      </c>
      <c r="Y83" s="120">
        <v>0.85</v>
      </c>
      <c r="Z83" s="130">
        <f t="shared" si="155"/>
        <v>1424</v>
      </c>
    </row>
    <row r="84" s="1" customFormat="1" ht="18" customHeight="1" spans="1:26">
      <c r="A84" s="10">
        <v>441825</v>
      </c>
      <c r="B84" s="10" t="s">
        <v>124</v>
      </c>
      <c r="C84" s="10" t="s">
        <v>127</v>
      </c>
      <c r="D84" s="87">
        <f>VLOOKUP(C84,[1]摸底数!B:D,3,0)</f>
        <v>52535</v>
      </c>
      <c r="E84" s="87">
        <v>931</v>
      </c>
      <c r="F84" s="141">
        <f t="shared" si="142"/>
        <v>35844</v>
      </c>
      <c r="G84" s="141">
        <f t="shared" si="143"/>
        <v>3226</v>
      </c>
      <c r="H84" s="142">
        <f t="shared" si="144"/>
        <v>71.688</v>
      </c>
      <c r="I84" s="116">
        <f t="shared" si="145"/>
        <v>22.58</v>
      </c>
      <c r="J84" s="116">
        <f t="shared" si="146"/>
        <v>1.2904</v>
      </c>
      <c r="K84" s="116">
        <f t="shared" si="147"/>
        <v>95.5584</v>
      </c>
      <c r="L84" s="120">
        <v>1</v>
      </c>
      <c r="M84" s="116">
        <f t="shared" si="148"/>
        <v>95.56</v>
      </c>
      <c r="N84" s="145">
        <v>25</v>
      </c>
      <c r="O84" s="116">
        <v>25</v>
      </c>
      <c r="P84" s="10">
        <v>10</v>
      </c>
      <c r="Q84" s="116"/>
      <c r="R84" s="130">
        <f t="shared" si="152"/>
        <v>60</v>
      </c>
      <c r="S84" s="119">
        <f t="shared" si="153"/>
        <v>155.56</v>
      </c>
      <c r="T84" s="145">
        <v>25</v>
      </c>
      <c r="U84" s="116">
        <v>25</v>
      </c>
      <c r="V84" s="10">
        <v>10</v>
      </c>
      <c r="W84" s="116"/>
      <c r="X84" s="130">
        <f t="shared" si="154"/>
        <v>623.2368</v>
      </c>
      <c r="Y84" s="120">
        <v>1</v>
      </c>
      <c r="Z84" s="130">
        <f t="shared" si="155"/>
        <v>623</v>
      </c>
    </row>
    <row r="85" s="1" customFormat="1" ht="18" customHeight="1" spans="1:26">
      <c r="A85" s="10">
        <v>441826</v>
      </c>
      <c r="B85" s="10" t="s">
        <v>124</v>
      </c>
      <c r="C85" s="10" t="s">
        <v>128</v>
      </c>
      <c r="D85" s="87">
        <f>VLOOKUP(C85,[1]摸底数!B:D,3,0)</f>
        <v>66948</v>
      </c>
      <c r="E85" s="87">
        <v>6274</v>
      </c>
      <c r="F85" s="141">
        <f t="shared" si="142"/>
        <v>40590</v>
      </c>
      <c r="G85" s="141">
        <f t="shared" si="143"/>
        <v>3653</v>
      </c>
      <c r="H85" s="142">
        <f t="shared" si="144"/>
        <v>81.18</v>
      </c>
      <c r="I85" s="116">
        <f t="shared" si="145"/>
        <v>25.57</v>
      </c>
      <c r="J85" s="116">
        <f t="shared" si="146"/>
        <v>1.4612</v>
      </c>
      <c r="K85" s="116">
        <f t="shared" si="147"/>
        <v>108.2112</v>
      </c>
      <c r="L85" s="120">
        <v>1</v>
      </c>
      <c r="M85" s="116">
        <f t="shared" si="148"/>
        <v>108.21</v>
      </c>
      <c r="N85" s="145">
        <v>25</v>
      </c>
      <c r="O85" s="116">
        <v>25</v>
      </c>
      <c r="P85" s="10">
        <v>10</v>
      </c>
      <c r="Q85" s="116"/>
      <c r="R85" s="130">
        <f t="shared" si="152"/>
        <v>60</v>
      </c>
      <c r="S85" s="119">
        <f t="shared" si="153"/>
        <v>168.21</v>
      </c>
      <c r="T85" s="145">
        <v>25</v>
      </c>
      <c r="U85" s="116">
        <v>25</v>
      </c>
      <c r="V85" s="10">
        <v>10</v>
      </c>
      <c r="W85" s="116"/>
      <c r="X85" s="130">
        <f t="shared" si="154"/>
        <v>673.8424</v>
      </c>
      <c r="Y85" s="120">
        <v>1</v>
      </c>
      <c r="Z85" s="130">
        <f t="shared" si="155"/>
        <v>674</v>
      </c>
    </row>
    <row r="86" s="1" customFormat="1" ht="18" customHeight="1" spans="1:26">
      <c r="A86" s="10">
        <v>441881</v>
      </c>
      <c r="B86" s="10" t="s">
        <v>124</v>
      </c>
      <c r="C86" s="10" t="s">
        <v>129</v>
      </c>
      <c r="D86" s="87">
        <f>VLOOKUP(C86,[1]摸底数!B:D,3,0)</f>
        <v>481427</v>
      </c>
      <c r="E86" s="87">
        <v>33857</v>
      </c>
      <c r="F86" s="141">
        <f t="shared" si="142"/>
        <v>303142</v>
      </c>
      <c r="G86" s="141">
        <f t="shared" si="143"/>
        <v>27283</v>
      </c>
      <c r="H86" s="142">
        <f t="shared" si="144"/>
        <v>606.284</v>
      </c>
      <c r="I86" s="116">
        <f t="shared" si="145"/>
        <v>190.98</v>
      </c>
      <c r="J86" s="116">
        <f t="shared" si="146"/>
        <v>10.9132</v>
      </c>
      <c r="K86" s="116">
        <f t="shared" si="147"/>
        <v>808.1772</v>
      </c>
      <c r="L86" s="120">
        <v>0.85</v>
      </c>
      <c r="M86" s="116">
        <f t="shared" si="148"/>
        <v>686.95</v>
      </c>
      <c r="N86" s="145">
        <v>25</v>
      </c>
      <c r="O86" s="116">
        <v>25</v>
      </c>
      <c r="P86" s="10">
        <v>10</v>
      </c>
      <c r="Q86" s="116"/>
      <c r="R86" s="130">
        <f t="shared" si="152"/>
        <v>60</v>
      </c>
      <c r="S86" s="119">
        <f t="shared" si="153"/>
        <v>746.95</v>
      </c>
      <c r="T86" s="145">
        <v>25</v>
      </c>
      <c r="U86" s="116">
        <v>25</v>
      </c>
      <c r="V86" s="10">
        <v>10</v>
      </c>
      <c r="W86" s="116"/>
      <c r="X86" s="130">
        <f t="shared" si="154"/>
        <v>3231.1044</v>
      </c>
      <c r="Y86" s="120">
        <v>0.85</v>
      </c>
      <c r="Z86" s="130">
        <f t="shared" si="155"/>
        <v>2746</v>
      </c>
    </row>
    <row r="87" s="1" customFormat="1" ht="18" customHeight="1" spans="1:26">
      <c r="A87" s="10">
        <v>441882</v>
      </c>
      <c r="B87" s="10" t="s">
        <v>124</v>
      </c>
      <c r="C87" s="10" t="s">
        <v>130</v>
      </c>
      <c r="D87" s="87">
        <f>VLOOKUP(C87,[1]摸底数!B:D,3,0)</f>
        <v>230060</v>
      </c>
      <c r="E87" s="87">
        <v>27946</v>
      </c>
      <c r="F87" s="141">
        <f t="shared" si="142"/>
        <v>133096</v>
      </c>
      <c r="G87" s="141">
        <f t="shared" si="143"/>
        <v>11979</v>
      </c>
      <c r="H87" s="142">
        <f t="shared" si="144"/>
        <v>266.192</v>
      </c>
      <c r="I87" s="116">
        <f t="shared" si="145"/>
        <v>83.85</v>
      </c>
      <c r="J87" s="116">
        <f t="shared" si="146"/>
        <v>4.7916</v>
      </c>
      <c r="K87" s="116">
        <f t="shared" si="147"/>
        <v>354.8336</v>
      </c>
      <c r="L87" s="120">
        <v>0.85</v>
      </c>
      <c r="M87" s="116">
        <f t="shared" si="148"/>
        <v>301.61</v>
      </c>
      <c r="N87" s="145">
        <v>25</v>
      </c>
      <c r="O87" s="116">
        <v>25</v>
      </c>
      <c r="P87" s="10">
        <v>10</v>
      </c>
      <c r="Q87" s="116"/>
      <c r="R87" s="130">
        <f t="shared" si="152"/>
        <v>60</v>
      </c>
      <c r="S87" s="119">
        <f t="shared" si="153"/>
        <v>361.61</v>
      </c>
      <c r="T87" s="145">
        <v>25</v>
      </c>
      <c r="U87" s="116">
        <v>25</v>
      </c>
      <c r="V87" s="10">
        <v>10</v>
      </c>
      <c r="W87" s="116"/>
      <c r="X87" s="130">
        <f t="shared" si="154"/>
        <v>1553.7372</v>
      </c>
      <c r="Y87" s="120">
        <v>0.85</v>
      </c>
      <c r="Z87" s="130">
        <f t="shared" si="155"/>
        <v>1321</v>
      </c>
    </row>
    <row r="88" s="4" customFormat="1" ht="18" customHeight="1" spans="1:26">
      <c r="A88" s="22">
        <v>445100</v>
      </c>
      <c r="B88" s="22" t="s">
        <v>131</v>
      </c>
      <c r="C88" s="23" t="s">
        <v>132</v>
      </c>
      <c r="D88" s="140">
        <f t="shared" ref="D88:K88" si="156">SUM(D89:D90)</f>
        <v>577334</v>
      </c>
      <c r="E88" s="140">
        <f t="shared" si="156"/>
        <v>4652</v>
      </c>
      <c r="F88" s="140">
        <f t="shared" si="156"/>
        <v>399482</v>
      </c>
      <c r="G88" s="140">
        <f t="shared" si="156"/>
        <v>35953</v>
      </c>
      <c r="H88" s="107">
        <f t="shared" si="156"/>
        <v>798.964</v>
      </c>
      <c r="I88" s="107">
        <f t="shared" si="156"/>
        <v>251.67</v>
      </c>
      <c r="J88" s="107">
        <f t="shared" si="156"/>
        <v>14.3812</v>
      </c>
      <c r="K88" s="107">
        <f t="shared" si="156"/>
        <v>1065.0152</v>
      </c>
      <c r="L88" s="107"/>
      <c r="M88" s="107">
        <f t="shared" ref="M88:S88" si="157">SUM(M89:M90)</f>
        <v>1065.02</v>
      </c>
      <c r="N88" s="144">
        <f t="shared" si="157"/>
        <v>50</v>
      </c>
      <c r="O88" s="107">
        <f t="shared" si="157"/>
        <v>25</v>
      </c>
      <c r="P88" s="107">
        <f t="shared" si="157"/>
        <v>10</v>
      </c>
      <c r="Q88" s="107">
        <f t="shared" si="157"/>
        <v>0</v>
      </c>
      <c r="R88" s="107">
        <f t="shared" si="157"/>
        <v>85</v>
      </c>
      <c r="S88" s="107">
        <f t="shared" si="157"/>
        <v>1150.02</v>
      </c>
      <c r="T88" s="144">
        <f t="shared" ref="T88:X88" si="158">SUM(T89:T90)</f>
        <v>50</v>
      </c>
      <c r="U88" s="107">
        <f t="shared" si="158"/>
        <v>25</v>
      </c>
      <c r="V88" s="22"/>
      <c r="W88" s="107"/>
      <c r="X88" s="107">
        <f t="shared" si="158"/>
        <v>4601.9204</v>
      </c>
      <c r="Y88" s="140"/>
      <c r="Z88" s="107">
        <f>SUM(Z89:Z90)</f>
        <v>4587</v>
      </c>
    </row>
    <row r="89" s="4" customFormat="1" ht="18" customHeight="1" spans="1:26">
      <c r="A89" s="22"/>
      <c r="B89" s="22"/>
      <c r="C89" s="10" t="s">
        <v>58</v>
      </c>
      <c r="D89" s="140"/>
      <c r="E89" s="140"/>
      <c r="F89" s="140"/>
      <c r="G89" s="140"/>
      <c r="H89" s="107"/>
      <c r="I89" s="107"/>
      <c r="J89" s="107"/>
      <c r="K89" s="107"/>
      <c r="L89" s="120">
        <v>0.85</v>
      </c>
      <c r="M89" s="107"/>
      <c r="N89" s="145">
        <v>25</v>
      </c>
      <c r="O89" s="107"/>
      <c r="P89" s="22"/>
      <c r="Q89" s="107"/>
      <c r="R89" s="130">
        <f t="shared" ref="R89:R95" si="159">T89+U89+V89+W89</f>
        <v>25</v>
      </c>
      <c r="S89" s="119">
        <f t="shared" ref="S89:S95" si="160">M89+R89</f>
        <v>25</v>
      </c>
      <c r="T89" s="145">
        <v>25</v>
      </c>
      <c r="U89" s="107"/>
      <c r="V89" s="22"/>
      <c r="W89" s="107"/>
      <c r="X89" s="130">
        <f t="shared" ref="X89:X95" si="161">SUM(H89:W89)</f>
        <v>100.85</v>
      </c>
      <c r="Y89" s="120">
        <v>0.85</v>
      </c>
      <c r="Z89" s="130">
        <f t="shared" ref="Z89:Z95" si="162">ROUND(X89*Y89,0)</f>
        <v>86</v>
      </c>
    </row>
    <row r="90" s="1" customFormat="1" ht="18" customHeight="1" spans="1:26">
      <c r="A90" s="10">
        <v>445122</v>
      </c>
      <c r="B90" s="10" t="s">
        <v>131</v>
      </c>
      <c r="C90" s="10" t="s">
        <v>133</v>
      </c>
      <c r="D90" s="87">
        <f>VLOOKUP(C90,[1]摸底数!B:D,3,0)</f>
        <v>577334</v>
      </c>
      <c r="E90" s="87">
        <v>4652</v>
      </c>
      <c r="F90" s="141">
        <f t="shared" ref="F90:F95" si="163">ROUND(D90*0.7-E90,0)</f>
        <v>399482</v>
      </c>
      <c r="G90" s="141">
        <f t="shared" ref="G90:G95" si="164">ROUND(F90*0.09,0)</f>
        <v>35953</v>
      </c>
      <c r="H90" s="142">
        <f t="shared" ref="H90:H95" si="165">F90*20/10000</f>
        <v>798.964</v>
      </c>
      <c r="I90" s="116">
        <f t="shared" ref="I90:I95" si="166">ROUND(F90*0.5*0.6*21/10000,2)</f>
        <v>251.67</v>
      </c>
      <c r="J90" s="116">
        <f t="shared" ref="J90:J95" si="167">G90*0.4*10/10000</f>
        <v>14.3812</v>
      </c>
      <c r="K90" s="116">
        <f t="shared" ref="K90:K95" si="168">H90+I90+J90</f>
        <v>1065.0152</v>
      </c>
      <c r="L90" s="120">
        <v>1</v>
      </c>
      <c r="M90" s="116">
        <f t="shared" ref="M90:M95" si="169">ROUND(K90*L90,2)</f>
        <v>1065.02</v>
      </c>
      <c r="N90" s="145">
        <v>25</v>
      </c>
      <c r="O90" s="116">
        <v>25</v>
      </c>
      <c r="P90" s="10">
        <v>10</v>
      </c>
      <c r="Q90" s="116"/>
      <c r="R90" s="130">
        <f t="shared" si="159"/>
        <v>60</v>
      </c>
      <c r="S90" s="119">
        <f t="shared" si="160"/>
        <v>1125.02</v>
      </c>
      <c r="T90" s="145">
        <v>25</v>
      </c>
      <c r="U90" s="116">
        <v>25</v>
      </c>
      <c r="V90" s="10">
        <v>10</v>
      </c>
      <c r="W90" s="116"/>
      <c r="X90" s="130">
        <f t="shared" si="161"/>
        <v>4501.0704</v>
      </c>
      <c r="Y90" s="120">
        <v>1</v>
      </c>
      <c r="Z90" s="130">
        <f t="shared" si="162"/>
        <v>4501</v>
      </c>
    </row>
    <row r="91" s="4" customFormat="1" ht="18" customHeight="1" spans="1:26">
      <c r="A91" s="22">
        <v>445200</v>
      </c>
      <c r="B91" s="22" t="s">
        <v>134</v>
      </c>
      <c r="C91" s="23" t="s">
        <v>135</v>
      </c>
      <c r="D91" s="140">
        <f t="shared" ref="D91:K91" si="170">SUM(D92:D95)</f>
        <v>1945919</v>
      </c>
      <c r="E91" s="140">
        <f t="shared" si="170"/>
        <v>13897</v>
      </c>
      <c r="F91" s="140">
        <f t="shared" si="170"/>
        <v>1348247</v>
      </c>
      <c r="G91" s="140">
        <f t="shared" si="170"/>
        <v>121343</v>
      </c>
      <c r="H91" s="107">
        <f t="shared" si="170"/>
        <v>2696.494</v>
      </c>
      <c r="I91" s="107">
        <f t="shared" si="170"/>
        <v>849.4</v>
      </c>
      <c r="J91" s="107">
        <f t="shared" si="170"/>
        <v>48.5372</v>
      </c>
      <c r="K91" s="107">
        <f t="shared" si="170"/>
        <v>3594.4312</v>
      </c>
      <c r="L91" s="107"/>
      <c r="M91" s="107">
        <f t="shared" ref="M91:S91" si="171">SUM(M92:M95)</f>
        <v>3594.43</v>
      </c>
      <c r="N91" s="144">
        <f t="shared" si="171"/>
        <v>100</v>
      </c>
      <c r="O91" s="107">
        <f t="shared" si="171"/>
        <v>75</v>
      </c>
      <c r="P91" s="107">
        <f t="shared" si="171"/>
        <v>30</v>
      </c>
      <c r="Q91" s="107">
        <f t="shared" si="171"/>
        <v>0</v>
      </c>
      <c r="R91" s="107">
        <f t="shared" si="171"/>
        <v>205</v>
      </c>
      <c r="S91" s="107">
        <f t="shared" si="171"/>
        <v>3799.43</v>
      </c>
      <c r="T91" s="144">
        <f t="shared" ref="T91:X91" si="172">SUM(T92:T95)</f>
        <v>100</v>
      </c>
      <c r="U91" s="107">
        <f t="shared" si="172"/>
        <v>75</v>
      </c>
      <c r="V91" s="22"/>
      <c r="W91" s="107"/>
      <c r="X91" s="107">
        <f t="shared" si="172"/>
        <v>15201.5724</v>
      </c>
      <c r="Y91" s="140"/>
      <c r="Z91" s="107">
        <f>SUM(Z92:Z95)</f>
        <v>15187</v>
      </c>
    </row>
    <row r="92" s="4" customFormat="1" ht="18" customHeight="1" spans="1:26">
      <c r="A92" s="22"/>
      <c r="B92" s="22"/>
      <c r="C92" s="10" t="s">
        <v>58</v>
      </c>
      <c r="D92" s="140"/>
      <c r="E92" s="140"/>
      <c r="F92" s="140"/>
      <c r="G92" s="140"/>
      <c r="H92" s="107"/>
      <c r="I92" s="107"/>
      <c r="J92" s="107"/>
      <c r="K92" s="107"/>
      <c r="L92" s="120">
        <v>0.85</v>
      </c>
      <c r="M92" s="107"/>
      <c r="N92" s="145">
        <v>25</v>
      </c>
      <c r="O92" s="107"/>
      <c r="P92" s="22"/>
      <c r="Q92" s="107"/>
      <c r="R92" s="130">
        <f t="shared" si="159"/>
        <v>25</v>
      </c>
      <c r="S92" s="119">
        <f t="shared" si="160"/>
        <v>25</v>
      </c>
      <c r="T92" s="145">
        <v>25</v>
      </c>
      <c r="U92" s="107"/>
      <c r="V92" s="22"/>
      <c r="W92" s="107"/>
      <c r="X92" s="130">
        <f t="shared" si="161"/>
        <v>100.85</v>
      </c>
      <c r="Y92" s="120">
        <v>0.85</v>
      </c>
      <c r="Z92" s="130">
        <f t="shared" si="162"/>
        <v>86</v>
      </c>
    </row>
    <row r="93" s="1" customFormat="1" ht="18" customHeight="1" spans="1:26">
      <c r="A93" s="10">
        <v>445222</v>
      </c>
      <c r="B93" s="10" t="s">
        <v>134</v>
      </c>
      <c r="C93" s="10" t="s">
        <v>136</v>
      </c>
      <c r="D93" s="87">
        <f>VLOOKUP(C93,[1]摸底数!B:D,3,0)</f>
        <v>366294</v>
      </c>
      <c r="E93" s="87">
        <v>1978</v>
      </c>
      <c r="F93" s="141">
        <f t="shared" si="163"/>
        <v>254428</v>
      </c>
      <c r="G93" s="141">
        <f t="shared" si="164"/>
        <v>22899</v>
      </c>
      <c r="H93" s="142">
        <f t="shared" si="165"/>
        <v>508.856</v>
      </c>
      <c r="I93" s="116">
        <f t="shared" si="166"/>
        <v>160.29</v>
      </c>
      <c r="J93" s="116">
        <f t="shared" si="167"/>
        <v>9.1596</v>
      </c>
      <c r="K93" s="116">
        <f t="shared" si="168"/>
        <v>678.3056</v>
      </c>
      <c r="L93" s="120">
        <v>1</v>
      </c>
      <c r="M93" s="116">
        <f t="shared" si="169"/>
        <v>678.31</v>
      </c>
      <c r="N93" s="145">
        <v>25</v>
      </c>
      <c r="O93" s="116">
        <v>25</v>
      </c>
      <c r="P93" s="10">
        <v>10</v>
      </c>
      <c r="Q93" s="116"/>
      <c r="R93" s="130">
        <f t="shared" si="159"/>
        <v>60</v>
      </c>
      <c r="S93" s="119">
        <f t="shared" si="160"/>
        <v>738.31</v>
      </c>
      <c r="T93" s="145">
        <v>25</v>
      </c>
      <c r="U93" s="116">
        <v>25</v>
      </c>
      <c r="V93" s="10">
        <v>10</v>
      </c>
      <c r="W93" s="116"/>
      <c r="X93" s="130">
        <f t="shared" si="161"/>
        <v>2954.2312</v>
      </c>
      <c r="Y93" s="120">
        <v>1</v>
      </c>
      <c r="Z93" s="130">
        <f t="shared" si="162"/>
        <v>2954</v>
      </c>
    </row>
    <row r="94" s="1" customFormat="1" ht="18" customHeight="1" spans="1:26">
      <c r="A94" s="10">
        <v>445224</v>
      </c>
      <c r="B94" s="10" t="s">
        <v>134</v>
      </c>
      <c r="C94" s="10" t="s">
        <v>137</v>
      </c>
      <c r="D94" s="87">
        <f>VLOOKUP(C94,[1]摸底数!B:D,3,0)</f>
        <v>554985</v>
      </c>
      <c r="E94" s="87">
        <v>6284</v>
      </c>
      <c r="F94" s="141">
        <f t="shared" si="163"/>
        <v>382206</v>
      </c>
      <c r="G94" s="141">
        <f t="shared" si="164"/>
        <v>34399</v>
      </c>
      <c r="H94" s="142">
        <f t="shared" si="165"/>
        <v>764.412</v>
      </c>
      <c r="I94" s="116">
        <f t="shared" si="166"/>
        <v>240.79</v>
      </c>
      <c r="J94" s="116">
        <f t="shared" si="167"/>
        <v>13.7596</v>
      </c>
      <c r="K94" s="116">
        <f t="shared" si="168"/>
        <v>1018.9616</v>
      </c>
      <c r="L94" s="120">
        <v>1</v>
      </c>
      <c r="M94" s="116">
        <f t="shared" si="169"/>
        <v>1018.96</v>
      </c>
      <c r="N94" s="145">
        <v>25</v>
      </c>
      <c r="O94" s="116">
        <v>25</v>
      </c>
      <c r="P94" s="10">
        <v>10</v>
      </c>
      <c r="Q94" s="116"/>
      <c r="R94" s="130">
        <f t="shared" si="159"/>
        <v>60</v>
      </c>
      <c r="S94" s="119">
        <f t="shared" si="160"/>
        <v>1078.96</v>
      </c>
      <c r="T94" s="145">
        <v>25</v>
      </c>
      <c r="U94" s="116">
        <v>25</v>
      </c>
      <c r="V94" s="10">
        <v>10</v>
      </c>
      <c r="W94" s="116"/>
      <c r="X94" s="130">
        <f t="shared" si="161"/>
        <v>4316.8432</v>
      </c>
      <c r="Y94" s="120">
        <v>1</v>
      </c>
      <c r="Z94" s="130">
        <f t="shared" si="162"/>
        <v>4317</v>
      </c>
    </row>
    <row r="95" s="1" customFormat="1" ht="18" customHeight="1" spans="1:26">
      <c r="A95" s="10">
        <v>445281</v>
      </c>
      <c r="B95" s="10" t="s">
        <v>134</v>
      </c>
      <c r="C95" s="10" t="s">
        <v>138</v>
      </c>
      <c r="D95" s="87">
        <f>VLOOKUP(C95,[1]摸底数!B:D,3,0)</f>
        <v>1024640</v>
      </c>
      <c r="E95" s="87">
        <v>5635</v>
      </c>
      <c r="F95" s="141">
        <f t="shared" si="163"/>
        <v>711613</v>
      </c>
      <c r="G95" s="141">
        <f t="shared" si="164"/>
        <v>64045</v>
      </c>
      <c r="H95" s="142">
        <f t="shared" si="165"/>
        <v>1423.226</v>
      </c>
      <c r="I95" s="116">
        <f t="shared" si="166"/>
        <v>448.32</v>
      </c>
      <c r="J95" s="116">
        <f t="shared" si="167"/>
        <v>25.618</v>
      </c>
      <c r="K95" s="116">
        <f t="shared" si="168"/>
        <v>1897.164</v>
      </c>
      <c r="L95" s="120">
        <v>1</v>
      </c>
      <c r="M95" s="116">
        <f t="shared" si="169"/>
        <v>1897.16</v>
      </c>
      <c r="N95" s="145">
        <v>25</v>
      </c>
      <c r="O95" s="116">
        <v>25</v>
      </c>
      <c r="P95" s="10">
        <v>10</v>
      </c>
      <c r="Q95" s="116"/>
      <c r="R95" s="130">
        <f t="shared" si="159"/>
        <v>60</v>
      </c>
      <c r="S95" s="119">
        <f t="shared" si="160"/>
        <v>1957.16</v>
      </c>
      <c r="T95" s="145">
        <v>25</v>
      </c>
      <c r="U95" s="116">
        <v>25</v>
      </c>
      <c r="V95" s="10">
        <v>10</v>
      </c>
      <c r="W95" s="116"/>
      <c r="X95" s="130">
        <f t="shared" si="161"/>
        <v>7829.648</v>
      </c>
      <c r="Y95" s="120">
        <v>1</v>
      </c>
      <c r="Z95" s="130">
        <f t="shared" si="162"/>
        <v>7830</v>
      </c>
    </row>
    <row r="96" s="4" customFormat="1" ht="18" customHeight="1" spans="1:26">
      <c r="A96" s="22">
        <v>445300</v>
      </c>
      <c r="B96" s="22" t="s">
        <v>139</v>
      </c>
      <c r="C96" s="23" t="s">
        <v>140</v>
      </c>
      <c r="D96" s="140">
        <f t="shared" ref="D96:K96" si="173">SUM(D97:D100)</f>
        <v>942096</v>
      </c>
      <c r="E96" s="140">
        <f t="shared" si="173"/>
        <v>68637</v>
      </c>
      <c r="F96" s="140">
        <f t="shared" si="173"/>
        <v>590830</v>
      </c>
      <c r="G96" s="140">
        <f t="shared" si="173"/>
        <v>53175</v>
      </c>
      <c r="H96" s="107">
        <f t="shared" si="173"/>
        <v>1181.66</v>
      </c>
      <c r="I96" s="107">
        <f t="shared" si="173"/>
        <v>372.21</v>
      </c>
      <c r="J96" s="107">
        <f t="shared" si="173"/>
        <v>21.27</v>
      </c>
      <c r="K96" s="107">
        <f t="shared" si="173"/>
        <v>1575.14</v>
      </c>
      <c r="L96" s="107"/>
      <c r="M96" s="107">
        <f t="shared" ref="M96:S96" si="174">SUM(M97:M100)</f>
        <v>1338.87</v>
      </c>
      <c r="N96" s="144">
        <f t="shared" si="174"/>
        <v>100</v>
      </c>
      <c r="O96" s="107">
        <f t="shared" si="174"/>
        <v>75</v>
      </c>
      <c r="P96" s="107">
        <f t="shared" si="174"/>
        <v>30</v>
      </c>
      <c r="Q96" s="107">
        <f t="shared" si="174"/>
        <v>0</v>
      </c>
      <c r="R96" s="107">
        <f t="shared" si="174"/>
        <v>205</v>
      </c>
      <c r="S96" s="107">
        <f t="shared" si="174"/>
        <v>1543.87</v>
      </c>
      <c r="T96" s="144">
        <f t="shared" ref="T96:X96" si="175">SUM(T97:T100)</f>
        <v>100</v>
      </c>
      <c r="U96" s="107">
        <f t="shared" si="175"/>
        <v>75</v>
      </c>
      <c r="V96" s="22"/>
      <c r="W96" s="107"/>
      <c r="X96" s="107">
        <f t="shared" si="175"/>
        <v>6651.42</v>
      </c>
      <c r="Y96" s="140"/>
      <c r="Z96" s="107">
        <f>SUM(Z97:Z100)</f>
        <v>5653</v>
      </c>
    </row>
    <row r="97" s="4" customFormat="1" ht="18" customHeight="1" spans="1:26">
      <c r="A97" s="22"/>
      <c r="B97" s="22"/>
      <c r="C97" s="10" t="s">
        <v>58</v>
      </c>
      <c r="D97" s="140"/>
      <c r="E97" s="140"/>
      <c r="F97" s="140"/>
      <c r="G97" s="140"/>
      <c r="H97" s="107"/>
      <c r="I97" s="107"/>
      <c r="J97" s="107"/>
      <c r="K97" s="107"/>
      <c r="L97" s="120">
        <v>0.85</v>
      </c>
      <c r="M97" s="107"/>
      <c r="N97" s="145">
        <v>25</v>
      </c>
      <c r="O97" s="107"/>
      <c r="P97" s="22"/>
      <c r="Q97" s="107"/>
      <c r="R97" s="130">
        <f t="shared" ref="R97:R100" si="176">T97+U97+V97+W97</f>
        <v>25</v>
      </c>
      <c r="S97" s="119">
        <f t="shared" ref="S97:S100" si="177">M97+R97</f>
        <v>25</v>
      </c>
      <c r="T97" s="145">
        <v>25</v>
      </c>
      <c r="U97" s="107"/>
      <c r="V97" s="22"/>
      <c r="W97" s="107"/>
      <c r="X97" s="130">
        <f>SUM(H97:W97)</f>
        <v>100.85</v>
      </c>
      <c r="Y97" s="120">
        <v>0.85</v>
      </c>
      <c r="Z97" s="130">
        <f t="shared" ref="Z97:Z100" si="178">ROUND(X97*Y97,0)</f>
        <v>86</v>
      </c>
    </row>
    <row r="98" s="1" customFormat="1" ht="18" customHeight="1" spans="1:26">
      <c r="A98" s="10">
        <v>445321</v>
      </c>
      <c r="B98" s="10" t="s">
        <v>139</v>
      </c>
      <c r="C98" s="10" t="s">
        <v>141</v>
      </c>
      <c r="D98" s="87">
        <f>VLOOKUP(C98,[1]摸底数!B:D,3,0)</f>
        <v>271061</v>
      </c>
      <c r="E98" s="87">
        <v>15657</v>
      </c>
      <c r="F98" s="141">
        <f t="shared" ref="F98:F100" si="179">ROUND(D98*0.7-E98,0)</f>
        <v>174086</v>
      </c>
      <c r="G98" s="141">
        <f t="shared" ref="G98:G100" si="180">ROUND(F98*0.09,0)</f>
        <v>15668</v>
      </c>
      <c r="H98" s="142">
        <f t="shared" ref="H98:H100" si="181">F98*20/10000</f>
        <v>348.172</v>
      </c>
      <c r="I98" s="116">
        <f t="shared" ref="I98:I100" si="182">ROUND(F98*0.5*0.6*21/10000,2)</f>
        <v>109.67</v>
      </c>
      <c r="J98" s="116">
        <f t="shared" ref="J98:J100" si="183">G98*0.4*10/10000</f>
        <v>6.2672</v>
      </c>
      <c r="K98" s="116">
        <f t="shared" ref="K98:K100" si="184">H98+I98+J98</f>
        <v>464.1092</v>
      </c>
      <c r="L98" s="120">
        <v>0.85</v>
      </c>
      <c r="M98" s="116">
        <f t="shared" ref="M98:M100" si="185">ROUND(K98*L98,2)</f>
        <v>394.49</v>
      </c>
      <c r="N98" s="145">
        <v>25</v>
      </c>
      <c r="O98" s="116">
        <v>25</v>
      </c>
      <c r="P98" s="10">
        <v>10</v>
      </c>
      <c r="Q98" s="116"/>
      <c r="R98" s="130">
        <f t="shared" si="176"/>
        <v>60</v>
      </c>
      <c r="S98" s="119">
        <f t="shared" si="177"/>
        <v>454.49</v>
      </c>
      <c r="T98" s="145">
        <v>25</v>
      </c>
      <c r="U98" s="116">
        <v>25</v>
      </c>
      <c r="V98" s="10">
        <v>10</v>
      </c>
      <c r="W98" s="116"/>
      <c r="X98" s="130">
        <f>SUM(H98:W98)</f>
        <v>1958.0484</v>
      </c>
      <c r="Y98" s="120">
        <v>0.85</v>
      </c>
      <c r="Z98" s="130">
        <f t="shared" si="178"/>
        <v>1664</v>
      </c>
    </row>
    <row r="99" s="1" customFormat="1" ht="18" customHeight="1" spans="1:26">
      <c r="A99" s="10">
        <v>445322</v>
      </c>
      <c r="B99" s="10" t="s">
        <v>139</v>
      </c>
      <c r="C99" s="10" t="s">
        <v>142</v>
      </c>
      <c r="D99" s="87">
        <f>VLOOKUP(C99,[1]摸底数!B:D,3,0)</f>
        <v>217762</v>
      </c>
      <c r="E99" s="87">
        <v>16410</v>
      </c>
      <c r="F99" s="141">
        <f t="shared" si="179"/>
        <v>136023</v>
      </c>
      <c r="G99" s="141">
        <f t="shared" si="180"/>
        <v>12242</v>
      </c>
      <c r="H99" s="142">
        <f t="shared" si="181"/>
        <v>272.046</v>
      </c>
      <c r="I99" s="116">
        <f t="shared" si="182"/>
        <v>85.69</v>
      </c>
      <c r="J99" s="116">
        <f t="shared" si="183"/>
        <v>4.8968</v>
      </c>
      <c r="K99" s="116">
        <f t="shared" si="184"/>
        <v>362.6328</v>
      </c>
      <c r="L99" s="120">
        <v>0.85</v>
      </c>
      <c r="M99" s="116">
        <f t="shared" si="185"/>
        <v>308.24</v>
      </c>
      <c r="N99" s="145">
        <v>25</v>
      </c>
      <c r="O99" s="116">
        <v>25</v>
      </c>
      <c r="P99" s="10">
        <v>10</v>
      </c>
      <c r="Q99" s="116"/>
      <c r="R99" s="130">
        <f t="shared" si="176"/>
        <v>60</v>
      </c>
      <c r="S99" s="119">
        <f t="shared" si="177"/>
        <v>368.24</v>
      </c>
      <c r="T99" s="145">
        <v>25</v>
      </c>
      <c r="U99" s="116">
        <v>25</v>
      </c>
      <c r="V99" s="10">
        <v>10</v>
      </c>
      <c r="W99" s="116"/>
      <c r="X99" s="130">
        <f>SUM(H99:W99)</f>
        <v>1582.5956</v>
      </c>
      <c r="Y99" s="120">
        <v>0.85</v>
      </c>
      <c r="Z99" s="130">
        <f t="shared" si="178"/>
        <v>1345</v>
      </c>
    </row>
    <row r="100" s="1" customFormat="1" ht="18" customHeight="1" spans="1:26">
      <c r="A100" s="10">
        <v>445381</v>
      </c>
      <c r="B100" s="10" t="s">
        <v>139</v>
      </c>
      <c r="C100" s="10" t="s">
        <v>143</v>
      </c>
      <c r="D100" s="87">
        <f>VLOOKUP(C100,[1]摸底数!B:D,3,0)</f>
        <v>453273</v>
      </c>
      <c r="E100" s="87">
        <v>36570</v>
      </c>
      <c r="F100" s="141">
        <f t="shared" si="179"/>
        <v>280721</v>
      </c>
      <c r="G100" s="141">
        <f t="shared" si="180"/>
        <v>25265</v>
      </c>
      <c r="H100" s="142">
        <f t="shared" si="181"/>
        <v>561.442</v>
      </c>
      <c r="I100" s="116">
        <f t="shared" si="182"/>
        <v>176.85</v>
      </c>
      <c r="J100" s="116">
        <f t="shared" si="183"/>
        <v>10.106</v>
      </c>
      <c r="K100" s="116">
        <f t="shared" si="184"/>
        <v>748.398</v>
      </c>
      <c r="L100" s="120">
        <v>0.85</v>
      </c>
      <c r="M100" s="116">
        <f t="shared" si="185"/>
        <v>636.14</v>
      </c>
      <c r="N100" s="145">
        <v>25</v>
      </c>
      <c r="O100" s="116">
        <v>25</v>
      </c>
      <c r="P100" s="10">
        <v>10</v>
      </c>
      <c r="Q100" s="116"/>
      <c r="R100" s="130">
        <f t="shared" si="176"/>
        <v>60</v>
      </c>
      <c r="S100" s="119">
        <f t="shared" si="177"/>
        <v>696.14</v>
      </c>
      <c r="T100" s="145">
        <v>25</v>
      </c>
      <c r="U100" s="116">
        <v>25</v>
      </c>
      <c r="V100" s="10">
        <v>10</v>
      </c>
      <c r="W100" s="116"/>
      <c r="X100" s="130">
        <f>SUM(H100:W100)</f>
        <v>3009.926</v>
      </c>
      <c r="Y100" s="120">
        <v>0.85</v>
      </c>
      <c r="Z100" s="130">
        <f t="shared" si="178"/>
        <v>2558</v>
      </c>
    </row>
    <row r="101" s="1" customFormat="1" spans="4:26">
      <c r="D101" s="76"/>
      <c r="E101" s="76"/>
      <c r="F101" s="76"/>
      <c r="G101" s="76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76"/>
      <c r="Z101" s="104"/>
    </row>
    <row r="102" s="1" customFormat="1" ht="112" customHeight="1" spans="3:26">
      <c r="C102" s="111" t="s">
        <v>144</v>
      </c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2"/>
      <c r="U102" s="112"/>
      <c r="V102" s="112"/>
      <c r="W102" s="112"/>
      <c r="X102" s="112"/>
      <c r="Y102" s="113"/>
      <c r="Z102" s="112"/>
    </row>
    <row r="103" s="1" customFormat="1" ht="16" customHeight="1" spans="3:26">
      <c r="C103" s="113"/>
      <c r="D103" s="113"/>
      <c r="E103" s="113"/>
      <c r="F103" s="113"/>
      <c r="G103" s="113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3"/>
      <c r="Z103" s="112"/>
    </row>
    <row r="104" s="1" customFormat="1" ht="16" customHeight="1" spans="3:26">
      <c r="C104" s="113"/>
      <c r="D104" s="113"/>
      <c r="E104" s="113"/>
      <c r="F104" s="113"/>
      <c r="G104" s="113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3"/>
      <c r="Z104" s="112"/>
    </row>
    <row r="105" s="1" customFormat="1" ht="16" customHeight="1" spans="3:26">
      <c r="C105" s="113"/>
      <c r="D105" s="113"/>
      <c r="E105" s="113"/>
      <c r="F105" s="113"/>
      <c r="G105" s="113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3"/>
      <c r="Z105" s="112"/>
    </row>
    <row r="106" s="1" customFormat="1" ht="16" customHeight="1" spans="3:26">
      <c r="C106" s="113"/>
      <c r="D106" s="113"/>
      <c r="E106" s="113"/>
      <c r="F106" s="113"/>
      <c r="G106" s="113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3"/>
      <c r="Z106" s="112"/>
    </row>
    <row r="107" s="1" customFormat="1" ht="16" customHeight="1" spans="3:26">
      <c r="C107" s="113"/>
      <c r="D107" s="113"/>
      <c r="E107" s="113"/>
      <c r="F107" s="113"/>
      <c r="G107" s="113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3"/>
      <c r="Z107" s="112"/>
    </row>
    <row r="108" s="1" customFormat="1" ht="16" customHeight="1" spans="3:26">
      <c r="C108" s="113"/>
      <c r="D108" s="113"/>
      <c r="E108" s="113"/>
      <c r="F108" s="113"/>
      <c r="G108" s="113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3"/>
      <c r="Z108" s="112"/>
    </row>
    <row r="109" s="1" customFormat="1" ht="16" customHeight="1" spans="3:26">
      <c r="C109" s="113"/>
      <c r="D109" s="113"/>
      <c r="E109" s="113"/>
      <c r="F109" s="113"/>
      <c r="G109" s="113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3"/>
      <c r="Z109" s="112"/>
    </row>
    <row r="110" s="1" customFormat="1" spans="4:26">
      <c r="D110" s="76"/>
      <c r="E110" s="76"/>
      <c r="F110" s="76"/>
      <c r="G110" s="76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76"/>
      <c r="Z110" s="104"/>
    </row>
  </sheetData>
  <autoFilter ref="A4:XFD102">
    <extLst/>
  </autoFilter>
  <mergeCells count="6">
    <mergeCell ref="C1:S1"/>
    <mergeCell ref="D2:M2"/>
    <mergeCell ref="N2:R2"/>
    <mergeCell ref="C102:S102"/>
    <mergeCell ref="C2:C3"/>
    <mergeCell ref="S2:S3"/>
  </mergeCells>
  <pageMargins left="0.357638888888889" right="0.357638888888889" top="0.409027777777778" bottom="0.409027777777778" header="0.5" footer="0.5"/>
  <pageSetup paperSize="9" scale="61" fitToHeight="0" orientation="landscape" horizontalDpi="600"/>
  <headerFooter/>
  <ignoredErrors>
    <ignoredError sqref="Q6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I12" sqref="I12"/>
    </sheetView>
  </sheetViews>
  <sheetFormatPr defaultColWidth="9" defaultRowHeight="13.5" outlineLevelRow="7"/>
  <cols>
    <col min="2" max="2" width="9.375"/>
    <col min="5" max="5" width="10.375"/>
    <col min="6" max="6" width="11.25" customWidth="1"/>
    <col min="7" max="7" width="11.5083333333333"/>
    <col min="8" max="8" width="11.75" customWidth="1"/>
    <col min="10" max="10" width="11.125" customWidth="1"/>
    <col min="11" max="11" width="11.75" customWidth="1"/>
    <col min="14" max="14" width="12.5083333333333" customWidth="1"/>
  </cols>
  <sheetData>
    <row r="1" ht="67.5" spans="1:14">
      <c r="A1" s="8" t="s">
        <v>1</v>
      </c>
      <c r="B1" s="8" t="s">
        <v>7</v>
      </c>
      <c r="C1" s="8" t="s">
        <v>8</v>
      </c>
      <c r="D1" s="8" t="s">
        <v>9</v>
      </c>
      <c r="E1" s="8" t="s">
        <v>150</v>
      </c>
      <c r="F1" s="13" t="s">
        <v>151</v>
      </c>
      <c r="G1" s="13" t="s">
        <v>12</v>
      </c>
      <c r="H1" s="13" t="s">
        <v>13</v>
      </c>
      <c r="I1" s="13" t="s">
        <v>152</v>
      </c>
      <c r="J1" s="13" t="s">
        <v>153</v>
      </c>
      <c r="K1" s="8" t="s">
        <v>154</v>
      </c>
      <c r="L1" s="8"/>
      <c r="M1" s="8"/>
      <c r="N1" s="8"/>
    </row>
    <row r="2" ht="67.5" spans="1:14">
      <c r="A2" s="8" t="s">
        <v>25</v>
      </c>
      <c r="B2" s="8" t="s">
        <v>26</v>
      </c>
      <c r="C2" s="8" t="s">
        <v>27</v>
      </c>
      <c r="D2" s="8" t="s">
        <v>28</v>
      </c>
      <c r="E2" s="8" t="s">
        <v>29</v>
      </c>
      <c r="F2" s="13" t="s">
        <v>30</v>
      </c>
      <c r="G2" s="13" t="s">
        <v>31</v>
      </c>
      <c r="H2" s="13" t="s">
        <v>155</v>
      </c>
      <c r="I2" s="13" t="s">
        <v>43</v>
      </c>
      <c r="J2" s="13" t="s">
        <v>156</v>
      </c>
      <c r="K2" s="13" t="s">
        <v>157</v>
      </c>
      <c r="L2" s="42" t="s">
        <v>146</v>
      </c>
      <c r="M2" s="42" t="s">
        <v>158</v>
      </c>
      <c r="N2" s="42" t="s">
        <v>159</v>
      </c>
    </row>
    <row r="3" ht="14.25" spans="1:14">
      <c r="A3" s="16" t="s">
        <v>47</v>
      </c>
      <c r="B3" s="40">
        <v>20974449</v>
      </c>
      <c r="C3" s="40">
        <v>943721</v>
      </c>
      <c r="D3" s="40">
        <v>13638395</v>
      </c>
      <c r="E3" s="40">
        <v>1227455</v>
      </c>
      <c r="F3" s="41">
        <v>27276.79</v>
      </c>
      <c r="G3" s="41">
        <v>8592.18</v>
      </c>
      <c r="H3" s="41">
        <v>868.45</v>
      </c>
      <c r="I3" s="41">
        <v>4474</v>
      </c>
      <c r="J3" s="41">
        <v>41211.42</v>
      </c>
      <c r="K3" s="41">
        <v>27955.79</v>
      </c>
      <c r="L3" s="41">
        <v>4228.26</v>
      </c>
      <c r="M3" s="41">
        <v>8043.54</v>
      </c>
      <c r="N3" s="41">
        <v>15683.99</v>
      </c>
    </row>
    <row r="5" spans="1:14">
      <c r="A5" t="s">
        <v>47</v>
      </c>
      <c r="B5">
        <v>34312998</v>
      </c>
      <c r="C5">
        <v>943721</v>
      </c>
      <c r="D5">
        <v>22975382</v>
      </c>
      <c r="E5">
        <v>2067785</v>
      </c>
      <c r="F5">
        <v>45950.75</v>
      </c>
      <c r="G5">
        <v>14474.49</v>
      </c>
      <c r="H5">
        <v>1204.61</v>
      </c>
      <c r="I5">
        <v>6214</v>
      </c>
      <c r="J5">
        <v>67843.85</v>
      </c>
      <c r="K5">
        <v>46629.75</v>
      </c>
      <c r="L5">
        <v>6895.94</v>
      </c>
      <c r="M5">
        <v>13378.97</v>
      </c>
      <c r="N5">
        <v>26354.84</v>
      </c>
    </row>
    <row r="7" spans="2:14">
      <c r="B7">
        <f>B5-B3</f>
        <v>13338549</v>
      </c>
      <c r="C7">
        <f t="shared" ref="C7:N7" si="0">C5-C3</f>
        <v>0</v>
      </c>
      <c r="D7">
        <f t="shared" si="0"/>
        <v>9336987</v>
      </c>
      <c r="E7">
        <f t="shared" si="0"/>
        <v>840330</v>
      </c>
      <c r="F7">
        <f t="shared" si="0"/>
        <v>18673.96</v>
      </c>
      <c r="G7">
        <f t="shared" si="0"/>
        <v>5882.31</v>
      </c>
      <c r="H7">
        <f t="shared" si="0"/>
        <v>336.16</v>
      </c>
      <c r="I7">
        <f t="shared" si="0"/>
        <v>1740</v>
      </c>
      <c r="J7">
        <f t="shared" si="0"/>
        <v>26632.43</v>
      </c>
      <c r="K7">
        <f t="shared" si="0"/>
        <v>18673.96</v>
      </c>
      <c r="L7">
        <f t="shared" si="0"/>
        <v>2667.68</v>
      </c>
      <c r="M7">
        <f t="shared" si="0"/>
        <v>5335.43</v>
      </c>
      <c r="N7">
        <f t="shared" si="0"/>
        <v>10670.85</v>
      </c>
    </row>
    <row r="8" spans="5:9">
      <c r="E8">
        <f>D7*0.09</f>
        <v>840328.83</v>
      </c>
      <c r="F8">
        <f>D7*20</f>
        <v>186739740</v>
      </c>
      <c r="G8">
        <f>D7*0.3*21</f>
        <v>58823018.1</v>
      </c>
      <c r="H8">
        <f>E8*0.4*10</f>
        <v>3361315.32</v>
      </c>
      <c r="I8">
        <f>I7/29</f>
        <v>60</v>
      </c>
    </row>
  </sheetData>
  <mergeCells count="1">
    <mergeCell ref="K1:N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9"/>
  <sheetViews>
    <sheetView topLeftCell="D1" workbookViewId="0">
      <selection activeCell="G10" sqref="G10"/>
    </sheetView>
  </sheetViews>
  <sheetFormatPr defaultColWidth="9" defaultRowHeight="15"/>
  <cols>
    <col min="1" max="3" width="9" style="1" hidden="1" customWidth="1"/>
    <col min="4" max="4" width="20.875" style="1" customWidth="1"/>
    <col min="5" max="6" width="11.75" style="5" customWidth="1"/>
    <col min="7" max="7" width="19.125" style="5" customWidth="1"/>
    <col min="8" max="8" width="15.375" style="1" customWidth="1"/>
    <col min="9" max="10" width="14.25" style="1" customWidth="1"/>
    <col min="11" max="12" width="11" style="1" customWidth="1"/>
    <col min="13" max="14" width="11" style="5" hidden="1" customWidth="1"/>
    <col min="15" max="15" width="9.75" style="5" hidden="1" customWidth="1"/>
    <col min="16" max="16" width="9.625" style="5" hidden="1" customWidth="1"/>
    <col min="17" max="17" width="11" style="5" hidden="1" customWidth="1"/>
    <col min="18" max="18" width="11" style="1" hidden="1" customWidth="1"/>
    <col min="19" max="19" width="11" style="5" hidden="1" customWidth="1"/>
    <col min="20" max="16383" width="9" style="1"/>
  </cols>
  <sheetData>
    <row r="1" s="1" customFormat="1" ht="27" customHeight="1" spans="4:19">
      <c r="D1" s="6" t="s">
        <v>563</v>
      </c>
      <c r="E1" s="7"/>
      <c r="F1" s="7"/>
      <c r="G1" s="7"/>
      <c r="H1" s="6"/>
      <c r="I1" s="6"/>
      <c r="J1" s="6"/>
      <c r="K1" s="6"/>
      <c r="L1" s="27"/>
      <c r="M1" s="7"/>
      <c r="N1" s="7"/>
      <c r="O1" s="7"/>
      <c r="P1" s="7"/>
      <c r="Q1" s="6"/>
      <c r="R1" s="6"/>
      <c r="S1" s="6"/>
    </row>
    <row r="2" s="1" customFormat="1" ht="27" customHeight="1" spans="4:19">
      <c r="D2" s="8" t="s">
        <v>1</v>
      </c>
      <c r="E2" s="9" t="s">
        <v>564</v>
      </c>
      <c r="F2" s="9"/>
      <c r="G2" s="9"/>
      <c r="H2" s="9"/>
      <c r="I2" s="9"/>
      <c r="J2" s="9"/>
      <c r="K2" s="8" t="s">
        <v>152</v>
      </c>
      <c r="L2" s="28" t="s">
        <v>565</v>
      </c>
      <c r="M2" s="7"/>
      <c r="N2" s="7"/>
      <c r="O2" s="7"/>
      <c r="P2" s="7"/>
      <c r="Q2" s="6"/>
      <c r="R2" s="6"/>
      <c r="S2" s="6"/>
    </row>
    <row r="3" s="1" customFormat="1" ht="57" customHeight="1" spans="1:19">
      <c r="A3" s="10"/>
      <c r="B3" s="11" t="s">
        <v>5</v>
      </c>
      <c r="C3" s="12" t="s">
        <v>6</v>
      </c>
      <c r="D3" s="8"/>
      <c r="E3" s="13" t="s">
        <v>7</v>
      </c>
      <c r="F3" s="13" t="s">
        <v>8</v>
      </c>
      <c r="G3" s="13" t="s">
        <v>566</v>
      </c>
      <c r="H3" s="8" t="s">
        <v>567</v>
      </c>
      <c r="I3" s="13" t="s">
        <v>15</v>
      </c>
      <c r="J3" s="13" t="s">
        <v>568</v>
      </c>
      <c r="K3" s="8"/>
      <c r="L3" s="28"/>
      <c r="M3" s="29" t="s">
        <v>569</v>
      </c>
      <c r="N3" s="30" t="s">
        <v>18</v>
      </c>
      <c r="O3" s="30" t="s">
        <v>570</v>
      </c>
      <c r="P3" s="30" t="s">
        <v>20</v>
      </c>
      <c r="Q3" s="35" t="s">
        <v>23</v>
      </c>
      <c r="R3" s="35" t="s">
        <v>15</v>
      </c>
      <c r="S3" s="35" t="s">
        <v>24</v>
      </c>
    </row>
    <row r="4" s="1" customFormat="1" ht="20" customHeight="1" spans="1:19">
      <c r="A4" s="10"/>
      <c r="B4" s="11"/>
      <c r="C4" s="12"/>
      <c r="D4" s="8" t="s">
        <v>25</v>
      </c>
      <c r="E4" s="13" t="s">
        <v>26</v>
      </c>
      <c r="F4" s="13" t="s">
        <v>27</v>
      </c>
      <c r="G4" s="13" t="s">
        <v>571</v>
      </c>
      <c r="H4" s="8" t="s">
        <v>572</v>
      </c>
      <c r="I4" s="13" t="s">
        <v>573</v>
      </c>
      <c r="J4" s="13" t="s">
        <v>574</v>
      </c>
      <c r="K4" s="8" t="s">
        <v>42</v>
      </c>
      <c r="L4" s="28" t="s">
        <v>575</v>
      </c>
      <c r="M4" s="29"/>
      <c r="N4" s="30"/>
      <c r="O4" s="30"/>
      <c r="P4" s="30"/>
      <c r="Q4" s="35"/>
      <c r="R4" s="35"/>
      <c r="S4" s="35"/>
    </row>
    <row r="5" s="2" customFormat="1" ht="14.25" spans="1:19">
      <c r="A5" s="14"/>
      <c r="B5" s="15"/>
      <c r="C5" s="15"/>
      <c r="D5" s="16" t="s">
        <v>47</v>
      </c>
      <c r="E5" s="17">
        <f>E6+E13</f>
        <v>20974449</v>
      </c>
      <c r="F5" s="17">
        <f>F6+F13</f>
        <v>943721</v>
      </c>
      <c r="G5" s="17">
        <f>G6+G13</f>
        <v>1962628</v>
      </c>
      <c r="H5" s="17">
        <f>H6+H13</f>
        <v>3925.26</v>
      </c>
      <c r="I5" s="17"/>
      <c r="J5" s="31">
        <f t="shared" ref="J5:Q5" si="0">J6+J13</f>
        <v>3446.39</v>
      </c>
      <c r="K5" s="17">
        <f t="shared" si="0"/>
        <v>2553.61</v>
      </c>
      <c r="L5" s="17">
        <f t="shared" si="0"/>
        <v>6000</v>
      </c>
      <c r="M5" s="17">
        <f t="shared" si="0"/>
        <v>1140</v>
      </c>
      <c r="N5" s="17">
        <f t="shared" si="0"/>
        <v>895</v>
      </c>
      <c r="O5" s="17">
        <f t="shared" si="0"/>
        <v>334</v>
      </c>
      <c r="P5" s="17">
        <f t="shared" si="0"/>
        <v>64</v>
      </c>
      <c r="Q5" s="17">
        <f t="shared" si="0"/>
        <v>9993.31</v>
      </c>
      <c r="R5" s="17"/>
      <c r="S5" s="17">
        <f>S6+S13</f>
        <v>8838</v>
      </c>
    </row>
    <row r="6" s="2" customFormat="1" ht="14.25" spans="1:19">
      <c r="A6" s="14"/>
      <c r="B6" s="15"/>
      <c r="C6" s="15"/>
      <c r="D6" s="15" t="s">
        <v>48</v>
      </c>
      <c r="E6" s="17"/>
      <c r="F6" s="17"/>
      <c r="G6" s="17"/>
      <c r="H6" s="17"/>
      <c r="I6" s="17"/>
      <c r="J6" s="17"/>
      <c r="K6" s="17">
        <f t="shared" ref="K6:Q6" si="1">SUM(K7:K12)</f>
        <v>204.61</v>
      </c>
      <c r="L6" s="17">
        <f t="shared" si="1"/>
        <v>204.61</v>
      </c>
      <c r="M6" s="17">
        <f t="shared" si="1"/>
        <v>60</v>
      </c>
      <c r="N6" s="17">
        <f t="shared" si="1"/>
        <v>40</v>
      </c>
      <c r="O6" s="17">
        <f t="shared" si="1"/>
        <v>49</v>
      </c>
      <c r="P6" s="17">
        <f t="shared" si="1"/>
        <v>64</v>
      </c>
      <c r="Q6" s="17">
        <f t="shared" si="1"/>
        <v>210.61</v>
      </c>
      <c r="R6" s="17"/>
      <c r="S6" s="17">
        <f>SUM(S7:S12)</f>
        <v>211</v>
      </c>
    </row>
    <row r="7" s="2" customFormat="1" spans="1:19">
      <c r="A7" s="14"/>
      <c r="B7" s="15"/>
      <c r="C7" s="15"/>
      <c r="D7" s="18" t="s">
        <v>49</v>
      </c>
      <c r="E7" s="17"/>
      <c r="F7" s="17"/>
      <c r="G7" s="17"/>
      <c r="H7" s="17"/>
      <c r="I7" s="32">
        <v>1</v>
      </c>
      <c r="J7" s="32"/>
      <c r="K7" s="20">
        <v>39.61</v>
      </c>
      <c r="L7" s="17">
        <f t="shared" ref="L7:L12" si="2">ROUND(J7+K7,2)</f>
        <v>39.61</v>
      </c>
      <c r="M7" s="17"/>
      <c r="N7" s="17"/>
      <c r="O7" s="20">
        <v>49</v>
      </c>
      <c r="P7" s="17"/>
      <c r="Q7" s="17">
        <f t="shared" ref="Q7:Q12" si="3">SUM(H7:K7)</f>
        <v>40.61</v>
      </c>
      <c r="R7" s="32">
        <v>1</v>
      </c>
      <c r="S7" s="24">
        <f t="shared" ref="S7:S12" si="4">ROUND(Q7*R7,0)</f>
        <v>41</v>
      </c>
    </row>
    <row r="8" s="3" customFormat="1" spans="1:19">
      <c r="A8" s="19"/>
      <c r="B8" s="18"/>
      <c r="C8" s="18"/>
      <c r="D8" s="18" t="s">
        <v>50</v>
      </c>
      <c r="E8" s="20"/>
      <c r="F8" s="20"/>
      <c r="G8" s="20"/>
      <c r="H8" s="19"/>
      <c r="I8" s="32">
        <v>1</v>
      </c>
      <c r="J8" s="32"/>
      <c r="K8" s="20">
        <v>40</v>
      </c>
      <c r="L8" s="17">
        <f t="shared" si="2"/>
        <v>40</v>
      </c>
      <c r="M8" s="20">
        <v>30</v>
      </c>
      <c r="N8" s="20">
        <v>10</v>
      </c>
      <c r="O8" s="20"/>
      <c r="P8" s="20"/>
      <c r="Q8" s="17">
        <f t="shared" si="3"/>
        <v>41</v>
      </c>
      <c r="R8" s="32">
        <v>1</v>
      </c>
      <c r="S8" s="24">
        <f t="shared" si="4"/>
        <v>41</v>
      </c>
    </row>
    <row r="9" s="3" customFormat="1" spans="1:19">
      <c r="A9" s="19"/>
      <c r="B9" s="18"/>
      <c r="C9" s="18"/>
      <c r="D9" s="18" t="s">
        <v>51</v>
      </c>
      <c r="E9" s="20"/>
      <c r="F9" s="20"/>
      <c r="G9" s="20"/>
      <c r="H9" s="19"/>
      <c r="I9" s="32">
        <v>1</v>
      </c>
      <c r="J9" s="32"/>
      <c r="K9" s="20">
        <v>65</v>
      </c>
      <c r="L9" s="17">
        <f t="shared" si="2"/>
        <v>65</v>
      </c>
      <c r="M9" s="20"/>
      <c r="N9" s="20"/>
      <c r="O9" s="20"/>
      <c r="P9" s="20">
        <v>64</v>
      </c>
      <c r="Q9" s="17">
        <f t="shared" si="3"/>
        <v>66</v>
      </c>
      <c r="R9" s="32">
        <v>1</v>
      </c>
      <c r="S9" s="24">
        <f t="shared" si="4"/>
        <v>66</v>
      </c>
    </row>
    <row r="10" s="3" customFormat="1" spans="1:19">
      <c r="A10" s="19"/>
      <c r="B10" s="18"/>
      <c r="C10" s="18"/>
      <c r="D10" s="18" t="s">
        <v>52</v>
      </c>
      <c r="E10" s="20"/>
      <c r="F10" s="20"/>
      <c r="G10" s="20"/>
      <c r="H10" s="19"/>
      <c r="I10" s="32">
        <v>1</v>
      </c>
      <c r="J10" s="32"/>
      <c r="K10" s="20">
        <v>40</v>
      </c>
      <c r="L10" s="17">
        <f t="shared" si="2"/>
        <v>40</v>
      </c>
      <c r="M10" s="20">
        <v>30</v>
      </c>
      <c r="N10" s="20">
        <v>10</v>
      </c>
      <c r="O10" s="20"/>
      <c r="P10" s="20"/>
      <c r="Q10" s="17">
        <f t="shared" si="3"/>
        <v>41</v>
      </c>
      <c r="R10" s="32">
        <v>1</v>
      </c>
      <c r="S10" s="24">
        <f t="shared" si="4"/>
        <v>41</v>
      </c>
    </row>
    <row r="11" s="3" customFormat="1" spans="1:19">
      <c r="A11" s="19"/>
      <c r="B11" s="18"/>
      <c r="C11" s="18"/>
      <c r="D11" s="18" t="s">
        <v>53</v>
      </c>
      <c r="E11" s="20"/>
      <c r="F11" s="20"/>
      <c r="G11" s="20"/>
      <c r="H11" s="19"/>
      <c r="I11" s="32">
        <v>1</v>
      </c>
      <c r="J11" s="32"/>
      <c r="K11" s="20">
        <v>10</v>
      </c>
      <c r="L11" s="17">
        <f t="shared" si="2"/>
        <v>10</v>
      </c>
      <c r="M11" s="20"/>
      <c r="N11" s="20">
        <v>10</v>
      </c>
      <c r="O11" s="20"/>
      <c r="P11" s="20"/>
      <c r="Q11" s="17">
        <f t="shared" si="3"/>
        <v>11</v>
      </c>
      <c r="R11" s="32">
        <v>1</v>
      </c>
      <c r="S11" s="24">
        <f t="shared" si="4"/>
        <v>11</v>
      </c>
    </row>
    <row r="12" s="3" customFormat="1" spans="1:19">
      <c r="A12" s="19"/>
      <c r="B12" s="18"/>
      <c r="C12" s="18"/>
      <c r="D12" s="18" t="s">
        <v>54</v>
      </c>
      <c r="E12" s="20"/>
      <c r="F12" s="20"/>
      <c r="G12" s="20"/>
      <c r="H12" s="19"/>
      <c r="I12" s="32">
        <v>1</v>
      </c>
      <c r="J12" s="32"/>
      <c r="K12" s="20">
        <v>10</v>
      </c>
      <c r="L12" s="17">
        <f t="shared" si="2"/>
        <v>10</v>
      </c>
      <c r="M12" s="20"/>
      <c r="N12" s="20">
        <v>10</v>
      </c>
      <c r="O12" s="20"/>
      <c r="P12" s="20"/>
      <c r="Q12" s="17">
        <f t="shared" si="3"/>
        <v>11</v>
      </c>
      <c r="R12" s="32">
        <v>1</v>
      </c>
      <c r="S12" s="24">
        <f t="shared" si="4"/>
        <v>11</v>
      </c>
    </row>
    <row r="13" s="2" customFormat="1" ht="14.25" spans="1:19">
      <c r="A13" s="14"/>
      <c r="B13" s="15"/>
      <c r="C13" s="15"/>
      <c r="D13" s="15" t="s">
        <v>55</v>
      </c>
      <c r="E13" s="21">
        <f>E14+E23+E26+E32+E39+E44+E51+E56+E64+E69+E76+E88+E91+E96+E80</f>
        <v>20974449</v>
      </c>
      <c r="F13" s="21">
        <f>F14+F23+F26+F32+F39+F44+F51+F56+F64+F69+F76+F88+F91+F96+F80</f>
        <v>943721</v>
      </c>
      <c r="G13" s="21">
        <f>G14+G23+G26+G32+G39+G44+G51+G56+G64+G69+G76+G88+G91+G96+G80</f>
        <v>1962628</v>
      </c>
      <c r="H13" s="21">
        <f>H14+H23+H26+H32+H39+H44+H51+H56+H64+H69+H76+H88+H91+H96+H80</f>
        <v>3925.26</v>
      </c>
      <c r="I13" s="21"/>
      <c r="J13" s="33">
        <f t="shared" ref="J13:Q13" si="5">J14+J23+J26+J32+J39+J44+J51+J56+J64+J69+J76+J88+J91+J96+J80</f>
        <v>3446.39</v>
      </c>
      <c r="K13" s="21">
        <f t="shared" si="5"/>
        <v>2349</v>
      </c>
      <c r="L13" s="21">
        <f t="shared" si="5"/>
        <v>5795.39</v>
      </c>
      <c r="M13" s="21">
        <f t="shared" si="5"/>
        <v>1080</v>
      </c>
      <c r="N13" s="21">
        <f t="shared" si="5"/>
        <v>855</v>
      </c>
      <c r="O13" s="21">
        <f t="shared" si="5"/>
        <v>285</v>
      </c>
      <c r="P13" s="21">
        <f t="shared" si="5"/>
        <v>0</v>
      </c>
      <c r="Q13" s="21">
        <f t="shared" si="5"/>
        <v>9782.7</v>
      </c>
      <c r="R13" s="21"/>
      <c r="S13" s="21">
        <f>S14+S23+S26+S32+S39+S44+S51+S56+S64+S69+S76+S88+S91+S96+S80</f>
        <v>8627</v>
      </c>
    </row>
    <row r="14" s="4" customFormat="1" ht="14.25" spans="1:19">
      <c r="A14" s="22">
        <v>73</v>
      </c>
      <c r="B14" s="22">
        <v>440200</v>
      </c>
      <c r="C14" s="22" t="s">
        <v>56</v>
      </c>
      <c r="D14" s="23" t="s">
        <v>57</v>
      </c>
      <c r="E14" s="21">
        <f>SUM(E15:E22)</f>
        <v>1074160</v>
      </c>
      <c r="F14" s="21">
        <f>SUM(F15:F22)</f>
        <v>49420</v>
      </c>
      <c r="G14" s="21">
        <f>SUM(G15:G22)</f>
        <v>100356</v>
      </c>
      <c r="H14" s="21">
        <f>SUM(H15:H22)</f>
        <v>200.71</v>
      </c>
      <c r="I14" s="21"/>
      <c r="J14" s="33">
        <f t="shared" ref="J14:Q14" si="6">SUM(J15:J22)</f>
        <v>178.86</v>
      </c>
      <c r="K14" s="21">
        <f t="shared" si="6"/>
        <v>275</v>
      </c>
      <c r="L14" s="21">
        <f t="shared" si="6"/>
        <v>453.86</v>
      </c>
      <c r="M14" s="21">
        <f t="shared" si="6"/>
        <v>120</v>
      </c>
      <c r="N14" s="21">
        <f t="shared" si="6"/>
        <v>105</v>
      </c>
      <c r="O14" s="21">
        <f t="shared" si="6"/>
        <v>35</v>
      </c>
      <c r="P14" s="21">
        <f t="shared" si="6"/>
        <v>0</v>
      </c>
      <c r="Q14" s="21">
        <f t="shared" si="6"/>
        <v>661.67</v>
      </c>
      <c r="R14" s="21"/>
      <c r="S14" s="21">
        <f>SUM(S15:S22)</f>
        <v>590</v>
      </c>
    </row>
    <row r="15" s="4" customFormat="1" spans="1:19">
      <c r="A15" s="22"/>
      <c r="B15" s="22"/>
      <c r="C15" s="22"/>
      <c r="D15" s="10" t="s">
        <v>58</v>
      </c>
      <c r="E15" s="21"/>
      <c r="F15" s="21"/>
      <c r="G15" s="21"/>
      <c r="H15" s="22"/>
      <c r="I15" s="32">
        <v>0.85</v>
      </c>
      <c r="J15" s="32"/>
      <c r="K15" s="24">
        <v>16</v>
      </c>
      <c r="L15" s="17">
        <f t="shared" ref="L15:L22" si="7">ROUND(J15+K15,2)</f>
        <v>16</v>
      </c>
      <c r="M15" s="24">
        <v>15</v>
      </c>
      <c r="N15" s="21"/>
      <c r="O15" s="21"/>
      <c r="P15" s="21"/>
      <c r="Q15" s="17">
        <f t="shared" ref="Q15:Q22" si="8">SUM(H15:K15)</f>
        <v>16.85</v>
      </c>
      <c r="R15" s="32">
        <v>0.85</v>
      </c>
      <c r="S15" s="24">
        <f t="shared" ref="S15:S22" si="9">ROUND(Q15*R15,0)</f>
        <v>14</v>
      </c>
    </row>
    <row r="16" s="1" customFormat="1" spans="1:19">
      <c r="A16" s="10">
        <v>2</v>
      </c>
      <c r="B16" s="10">
        <v>440222</v>
      </c>
      <c r="C16" s="10" t="s">
        <v>56</v>
      </c>
      <c r="D16" s="10" t="s">
        <v>59</v>
      </c>
      <c r="E16" s="24">
        <f>VLOOKUP(D16,[1]摸底数!B:D,3,0)</f>
        <v>122510</v>
      </c>
      <c r="F16" s="24">
        <f>VLOOKUP(D16,[1]摸底数!B:G,6,0)</f>
        <v>4598</v>
      </c>
      <c r="G16" s="25">
        <f t="shared" ref="G16:G22" si="10">ROUND((E16-F16/0.7)*0.1,0)</f>
        <v>11594</v>
      </c>
      <c r="H16" s="26">
        <f t="shared" ref="H16:H22" si="11">ROUND(G16*20/10000,2)</f>
        <v>23.19</v>
      </c>
      <c r="I16" s="32">
        <v>0.85</v>
      </c>
      <c r="J16" s="34">
        <f t="shared" ref="J16:J22" si="12">ROUND(H16*I16,2)</f>
        <v>19.71</v>
      </c>
      <c r="K16" s="24">
        <v>37</v>
      </c>
      <c r="L16" s="17">
        <f t="shared" si="7"/>
        <v>56.71</v>
      </c>
      <c r="M16" s="24">
        <v>15</v>
      </c>
      <c r="N16" s="24">
        <v>15</v>
      </c>
      <c r="O16" s="24">
        <v>5</v>
      </c>
      <c r="P16" s="24"/>
      <c r="Q16" s="17">
        <f t="shared" si="8"/>
        <v>80.75</v>
      </c>
      <c r="R16" s="32">
        <v>0.85</v>
      </c>
      <c r="S16" s="24">
        <f t="shared" si="9"/>
        <v>69</v>
      </c>
    </row>
    <row r="17" s="1" customFormat="1" spans="1:19">
      <c r="A17" s="10">
        <v>3</v>
      </c>
      <c r="B17" s="10">
        <v>440224</v>
      </c>
      <c r="C17" s="10" t="s">
        <v>56</v>
      </c>
      <c r="D17" s="10" t="s">
        <v>60</v>
      </c>
      <c r="E17" s="24">
        <f>VLOOKUP(D17,[1]摸底数!B:D,3,0)</f>
        <v>120900</v>
      </c>
      <c r="F17" s="24">
        <f>VLOOKUP(D17,[1]摸底数!B:G,6,0)</f>
        <v>6625</v>
      </c>
      <c r="G17" s="25">
        <f t="shared" si="10"/>
        <v>11144</v>
      </c>
      <c r="H17" s="26">
        <f t="shared" si="11"/>
        <v>22.29</v>
      </c>
      <c r="I17" s="32">
        <v>0.85</v>
      </c>
      <c r="J17" s="34">
        <f t="shared" si="12"/>
        <v>18.95</v>
      </c>
      <c r="K17" s="24">
        <v>37</v>
      </c>
      <c r="L17" s="17">
        <f t="shared" si="7"/>
        <v>55.95</v>
      </c>
      <c r="M17" s="24">
        <v>15</v>
      </c>
      <c r="N17" s="24">
        <v>15</v>
      </c>
      <c r="O17" s="24">
        <v>5</v>
      </c>
      <c r="P17" s="24"/>
      <c r="Q17" s="17">
        <f t="shared" si="8"/>
        <v>79.09</v>
      </c>
      <c r="R17" s="32">
        <v>0.85</v>
      </c>
      <c r="S17" s="24">
        <f t="shared" si="9"/>
        <v>67</v>
      </c>
    </row>
    <row r="18" s="1" customFormat="1" spans="1:19">
      <c r="A18" s="10">
        <v>4</v>
      </c>
      <c r="B18" s="10">
        <v>440229</v>
      </c>
      <c r="C18" s="10" t="s">
        <v>56</v>
      </c>
      <c r="D18" s="10" t="s">
        <v>61</v>
      </c>
      <c r="E18" s="24">
        <f>VLOOKUP(D18,[1]摸底数!B:D,3,0)</f>
        <v>188220</v>
      </c>
      <c r="F18" s="24">
        <f>VLOOKUP(D18,[1]摸底数!B:G,6,0)</f>
        <v>7711</v>
      </c>
      <c r="G18" s="25">
        <f t="shared" si="10"/>
        <v>17720</v>
      </c>
      <c r="H18" s="26">
        <f t="shared" si="11"/>
        <v>35.44</v>
      </c>
      <c r="I18" s="32">
        <v>0.85</v>
      </c>
      <c r="J18" s="34">
        <f t="shared" si="12"/>
        <v>30.12</v>
      </c>
      <c r="K18" s="24">
        <v>37</v>
      </c>
      <c r="L18" s="17">
        <f t="shared" si="7"/>
        <v>67.12</v>
      </c>
      <c r="M18" s="24">
        <v>15</v>
      </c>
      <c r="N18" s="24">
        <v>15</v>
      </c>
      <c r="O18" s="24">
        <v>5</v>
      </c>
      <c r="P18" s="24"/>
      <c r="Q18" s="17">
        <f t="shared" si="8"/>
        <v>103.41</v>
      </c>
      <c r="R18" s="32">
        <v>0.85</v>
      </c>
      <c r="S18" s="24">
        <f t="shared" si="9"/>
        <v>88</v>
      </c>
    </row>
    <row r="19" s="1" customFormat="1" spans="1:19">
      <c r="A19" s="10">
        <v>5</v>
      </c>
      <c r="B19" s="10">
        <v>440232</v>
      </c>
      <c r="C19" s="10" t="s">
        <v>56</v>
      </c>
      <c r="D19" s="10" t="s">
        <v>62</v>
      </c>
      <c r="E19" s="24">
        <f>VLOOKUP(D19,[1]摸底数!B:D,3,0)</f>
        <v>120021</v>
      </c>
      <c r="F19" s="24">
        <f>VLOOKUP(D19,[1]摸底数!B:G,6,0)</f>
        <v>10263</v>
      </c>
      <c r="G19" s="25">
        <f t="shared" si="10"/>
        <v>10536</v>
      </c>
      <c r="H19" s="26">
        <f t="shared" si="11"/>
        <v>21.07</v>
      </c>
      <c r="I19" s="32">
        <v>1</v>
      </c>
      <c r="J19" s="34">
        <f t="shared" si="12"/>
        <v>21.07</v>
      </c>
      <c r="K19" s="24">
        <v>37</v>
      </c>
      <c r="L19" s="17">
        <f t="shared" si="7"/>
        <v>58.07</v>
      </c>
      <c r="M19" s="24">
        <v>15</v>
      </c>
      <c r="N19" s="24">
        <v>15</v>
      </c>
      <c r="O19" s="24">
        <v>5</v>
      </c>
      <c r="P19" s="24"/>
      <c r="Q19" s="17">
        <f t="shared" si="8"/>
        <v>80.14</v>
      </c>
      <c r="R19" s="32">
        <v>1</v>
      </c>
      <c r="S19" s="24">
        <f t="shared" si="9"/>
        <v>80</v>
      </c>
    </row>
    <row r="20" s="1" customFormat="1" spans="1:19">
      <c r="A20" s="10">
        <v>6</v>
      </c>
      <c r="B20" s="10">
        <v>440233</v>
      </c>
      <c r="C20" s="10" t="s">
        <v>56</v>
      </c>
      <c r="D20" s="10" t="s">
        <v>63</v>
      </c>
      <c r="E20" s="24">
        <f>VLOOKUP(D20,[1]摸底数!B:D,3,0)</f>
        <v>116590</v>
      </c>
      <c r="F20" s="24">
        <f>VLOOKUP(D20,[1]摸底数!B:G,6,0)</f>
        <v>2266</v>
      </c>
      <c r="G20" s="25">
        <f t="shared" si="10"/>
        <v>11335</v>
      </c>
      <c r="H20" s="26">
        <f t="shared" si="11"/>
        <v>22.67</v>
      </c>
      <c r="I20" s="32">
        <v>0.85</v>
      </c>
      <c r="J20" s="34">
        <f t="shared" si="12"/>
        <v>19.27</v>
      </c>
      <c r="K20" s="24">
        <v>37</v>
      </c>
      <c r="L20" s="17">
        <f t="shared" si="7"/>
        <v>56.27</v>
      </c>
      <c r="M20" s="24">
        <v>15</v>
      </c>
      <c r="N20" s="24">
        <v>15</v>
      </c>
      <c r="O20" s="24">
        <v>5</v>
      </c>
      <c r="P20" s="24"/>
      <c r="Q20" s="17">
        <f t="shared" si="8"/>
        <v>79.79</v>
      </c>
      <c r="R20" s="32">
        <v>0.85</v>
      </c>
      <c r="S20" s="24">
        <f t="shared" si="9"/>
        <v>68</v>
      </c>
    </row>
    <row r="21" s="1" customFormat="1" spans="1:19">
      <c r="A21" s="10">
        <v>7</v>
      </c>
      <c r="B21" s="10">
        <v>440281</v>
      </c>
      <c r="C21" s="10" t="s">
        <v>56</v>
      </c>
      <c r="D21" s="10" t="s">
        <v>64</v>
      </c>
      <c r="E21" s="24">
        <f>VLOOKUP(D21,[1]摸底数!B:D,3,0)</f>
        <v>223884</v>
      </c>
      <c r="F21" s="24">
        <f>VLOOKUP(D21,[1]摸底数!B:G,6,0)</f>
        <v>9370</v>
      </c>
      <c r="G21" s="25">
        <f t="shared" si="10"/>
        <v>21050</v>
      </c>
      <c r="H21" s="26">
        <f t="shared" si="11"/>
        <v>42.1</v>
      </c>
      <c r="I21" s="32">
        <v>0.85</v>
      </c>
      <c r="J21" s="34">
        <f t="shared" si="12"/>
        <v>35.79</v>
      </c>
      <c r="K21" s="24">
        <v>37</v>
      </c>
      <c r="L21" s="17">
        <f t="shared" si="7"/>
        <v>72.79</v>
      </c>
      <c r="M21" s="24">
        <v>15</v>
      </c>
      <c r="N21" s="24">
        <v>15</v>
      </c>
      <c r="O21" s="24">
        <v>5</v>
      </c>
      <c r="P21" s="24"/>
      <c r="Q21" s="17">
        <f t="shared" si="8"/>
        <v>115.74</v>
      </c>
      <c r="R21" s="32">
        <v>0.85</v>
      </c>
      <c r="S21" s="24">
        <f t="shared" si="9"/>
        <v>98</v>
      </c>
    </row>
    <row r="22" s="1" customFormat="1" spans="1:19">
      <c r="A22" s="10">
        <v>8</v>
      </c>
      <c r="B22" s="10">
        <v>440282</v>
      </c>
      <c r="C22" s="10" t="s">
        <v>56</v>
      </c>
      <c r="D22" s="10" t="s">
        <v>65</v>
      </c>
      <c r="E22" s="24">
        <f>VLOOKUP(D22,[1]摸底数!B:D,3,0)</f>
        <v>182035</v>
      </c>
      <c r="F22" s="24">
        <f>VLOOKUP(D22,[1]摸底数!B:G,6,0)</f>
        <v>8587</v>
      </c>
      <c r="G22" s="25">
        <f t="shared" si="10"/>
        <v>16977</v>
      </c>
      <c r="H22" s="26">
        <f t="shared" si="11"/>
        <v>33.95</v>
      </c>
      <c r="I22" s="32">
        <v>1</v>
      </c>
      <c r="J22" s="34">
        <f t="shared" si="12"/>
        <v>33.95</v>
      </c>
      <c r="K22" s="24">
        <v>37</v>
      </c>
      <c r="L22" s="17">
        <f t="shared" si="7"/>
        <v>70.95</v>
      </c>
      <c r="M22" s="24">
        <v>15</v>
      </c>
      <c r="N22" s="24">
        <v>15</v>
      </c>
      <c r="O22" s="24">
        <v>5</v>
      </c>
      <c r="P22" s="24"/>
      <c r="Q22" s="17">
        <f t="shared" si="8"/>
        <v>105.9</v>
      </c>
      <c r="R22" s="32">
        <v>1</v>
      </c>
      <c r="S22" s="24">
        <f t="shared" si="9"/>
        <v>106</v>
      </c>
    </row>
    <row r="23" s="4" customFormat="1" ht="14.25" spans="1:19">
      <c r="A23" s="22">
        <v>74</v>
      </c>
      <c r="B23" s="22">
        <v>440500</v>
      </c>
      <c r="C23" s="22" t="s">
        <v>66</v>
      </c>
      <c r="D23" s="23" t="s">
        <v>67</v>
      </c>
      <c r="E23" s="21">
        <f>SUM(E24:E25)</f>
        <v>46196</v>
      </c>
      <c r="F23" s="21">
        <f>SUM(F24:F25)</f>
        <v>712</v>
      </c>
      <c r="G23" s="21">
        <f>SUM(G24:G25)</f>
        <v>4518</v>
      </c>
      <c r="H23" s="21">
        <f>SUM(H24:H25)</f>
        <v>9.04</v>
      </c>
      <c r="I23" s="21"/>
      <c r="J23" s="21">
        <f t="shared" ref="J23:Q23" si="13">SUM(J24:J25)</f>
        <v>7.68</v>
      </c>
      <c r="K23" s="21">
        <f t="shared" si="13"/>
        <v>53</v>
      </c>
      <c r="L23" s="21">
        <f t="shared" si="13"/>
        <v>60.68</v>
      </c>
      <c r="M23" s="21">
        <f t="shared" si="13"/>
        <v>30</v>
      </c>
      <c r="N23" s="21">
        <f t="shared" si="13"/>
        <v>15</v>
      </c>
      <c r="O23" s="21">
        <f t="shared" si="13"/>
        <v>5</v>
      </c>
      <c r="P23" s="21">
        <f t="shared" si="13"/>
        <v>0</v>
      </c>
      <c r="Q23" s="21">
        <f t="shared" si="13"/>
        <v>71.42</v>
      </c>
      <c r="R23" s="21"/>
      <c r="S23" s="21">
        <f>SUM(S24:S25)</f>
        <v>60</v>
      </c>
    </row>
    <row r="24" s="4" customFormat="1" spans="1:19">
      <c r="A24" s="22"/>
      <c r="B24" s="22"/>
      <c r="C24" s="22"/>
      <c r="D24" s="10" t="s">
        <v>58</v>
      </c>
      <c r="E24" s="21"/>
      <c r="F24" s="24"/>
      <c r="G24" s="21"/>
      <c r="H24" s="22"/>
      <c r="I24" s="32">
        <v>0.85</v>
      </c>
      <c r="J24" s="32"/>
      <c r="K24" s="24">
        <v>16</v>
      </c>
      <c r="L24" s="17">
        <f t="shared" ref="L24:L31" si="14">ROUND(J24+K24,2)</f>
        <v>16</v>
      </c>
      <c r="M24" s="24">
        <v>15</v>
      </c>
      <c r="N24" s="21"/>
      <c r="O24" s="21"/>
      <c r="P24" s="21"/>
      <c r="Q24" s="17">
        <f t="shared" ref="Q24:Q31" si="15">SUM(H24:K24)</f>
        <v>16.85</v>
      </c>
      <c r="R24" s="32">
        <v>0.85</v>
      </c>
      <c r="S24" s="24">
        <f t="shared" ref="S24:S31" si="16">ROUND(Q24*R24,0)</f>
        <v>14</v>
      </c>
    </row>
    <row r="25" s="1" customFormat="1" spans="1:19">
      <c r="A25" s="10">
        <v>10</v>
      </c>
      <c r="B25" s="10">
        <v>440523</v>
      </c>
      <c r="C25" s="10" t="s">
        <v>66</v>
      </c>
      <c r="D25" s="10" t="s">
        <v>68</v>
      </c>
      <c r="E25" s="24">
        <f>VLOOKUP(D25,[1]摸底数!B:D,3,0)</f>
        <v>46196</v>
      </c>
      <c r="F25" s="24">
        <f>VLOOKUP(D25,[1]摸底数!B:G,6,0)</f>
        <v>712</v>
      </c>
      <c r="G25" s="25">
        <f t="shared" ref="G25:G31" si="17">ROUND((E25-F25/0.7)*0.1,0)</f>
        <v>4518</v>
      </c>
      <c r="H25" s="26">
        <f t="shared" ref="H25:H31" si="18">ROUND(G25*20/10000,2)</f>
        <v>9.04</v>
      </c>
      <c r="I25" s="32">
        <v>0.85</v>
      </c>
      <c r="J25" s="34">
        <f t="shared" ref="J25:J31" si="19">ROUND(H25*I25,2)</f>
        <v>7.68</v>
      </c>
      <c r="K25" s="24">
        <v>37</v>
      </c>
      <c r="L25" s="17">
        <f t="shared" si="14"/>
        <v>44.68</v>
      </c>
      <c r="M25" s="24">
        <v>15</v>
      </c>
      <c r="N25" s="24">
        <v>15</v>
      </c>
      <c r="O25" s="24">
        <v>5</v>
      </c>
      <c r="P25" s="24"/>
      <c r="Q25" s="17">
        <f t="shared" si="15"/>
        <v>54.57</v>
      </c>
      <c r="R25" s="32">
        <v>0.85</v>
      </c>
      <c r="S25" s="24">
        <f t="shared" si="16"/>
        <v>46</v>
      </c>
    </row>
    <row r="26" s="4" customFormat="1" ht="14.25" spans="1:19">
      <c r="A26" s="22">
        <v>75</v>
      </c>
      <c r="B26" s="22">
        <v>440700</v>
      </c>
      <c r="C26" s="22" t="s">
        <v>69</v>
      </c>
      <c r="D26" s="23" t="s">
        <v>70</v>
      </c>
      <c r="E26" s="21">
        <f>SUM(E27:E31)</f>
        <v>1910085</v>
      </c>
      <c r="F26" s="21">
        <f>SUM(F27:F31)</f>
        <v>135514</v>
      </c>
      <c r="G26" s="21">
        <f>SUM(G27:G31)</f>
        <v>171650</v>
      </c>
      <c r="H26" s="21">
        <f>SUM(H27:H31)</f>
        <v>343.3</v>
      </c>
      <c r="I26" s="21"/>
      <c r="J26" s="21">
        <f t="shared" ref="J26:Q26" si="20">SUM(J27:J31)</f>
        <v>223.14</v>
      </c>
      <c r="K26" s="21">
        <f t="shared" si="20"/>
        <v>164</v>
      </c>
      <c r="L26" s="21">
        <f t="shared" si="20"/>
        <v>387.14</v>
      </c>
      <c r="M26" s="21">
        <f t="shared" si="20"/>
        <v>75</v>
      </c>
      <c r="N26" s="21">
        <f t="shared" si="20"/>
        <v>60</v>
      </c>
      <c r="O26" s="21">
        <f t="shared" si="20"/>
        <v>20</v>
      </c>
      <c r="P26" s="21">
        <f t="shared" si="20"/>
        <v>0</v>
      </c>
      <c r="Q26" s="21">
        <f t="shared" si="20"/>
        <v>733.04</v>
      </c>
      <c r="R26" s="21"/>
      <c r="S26" s="21">
        <f>SUM(S27:S31)</f>
        <v>466</v>
      </c>
    </row>
    <row r="27" s="4" customFormat="1" spans="1:19">
      <c r="A27" s="22"/>
      <c r="B27" s="22"/>
      <c r="C27" s="22"/>
      <c r="D27" s="10" t="s">
        <v>58</v>
      </c>
      <c r="E27" s="21"/>
      <c r="F27" s="24"/>
      <c r="G27" s="21"/>
      <c r="H27" s="22"/>
      <c r="I27" s="24">
        <v>0</v>
      </c>
      <c r="J27" s="24"/>
      <c r="K27" s="24">
        <v>16</v>
      </c>
      <c r="L27" s="17">
        <f t="shared" si="14"/>
        <v>16</v>
      </c>
      <c r="M27" s="24">
        <v>15</v>
      </c>
      <c r="N27" s="21"/>
      <c r="O27" s="21"/>
      <c r="P27" s="21"/>
      <c r="Q27" s="17">
        <f t="shared" si="15"/>
        <v>16</v>
      </c>
      <c r="R27" s="24">
        <v>0</v>
      </c>
      <c r="S27" s="24">
        <f t="shared" si="16"/>
        <v>0</v>
      </c>
    </row>
    <row r="28" s="1" customFormat="1" spans="1:19">
      <c r="A28" s="10">
        <v>12</v>
      </c>
      <c r="B28" s="10">
        <v>440781</v>
      </c>
      <c r="C28" s="10" t="s">
        <v>69</v>
      </c>
      <c r="D28" s="10" t="s">
        <v>71</v>
      </c>
      <c r="E28" s="24">
        <f>VLOOKUP(D28,[1]摸底数!B:D,3,0)</f>
        <v>648417</v>
      </c>
      <c r="F28" s="24">
        <f>VLOOKUP(D28,[1]摸底数!B:G,6,0)</f>
        <v>33006</v>
      </c>
      <c r="G28" s="25">
        <f t="shared" si="17"/>
        <v>60127</v>
      </c>
      <c r="H28" s="26">
        <f t="shared" si="18"/>
        <v>120.25</v>
      </c>
      <c r="I28" s="32">
        <v>0.65</v>
      </c>
      <c r="J28" s="34">
        <f t="shared" si="19"/>
        <v>78.16</v>
      </c>
      <c r="K28" s="24">
        <v>37</v>
      </c>
      <c r="L28" s="17">
        <f t="shared" si="14"/>
        <v>115.16</v>
      </c>
      <c r="M28" s="24">
        <v>15</v>
      </c>
      <c r="N28" s="24">
        <v>15</v>
      </c>
      <c r="O28" s="24">
        <v>5</v>
      </c>
      <c r="P28" s="24"/>
      <c r="Q28" s="17">
        <f t="shared" si="15"/>
        <v>236.06</v>
      </c>
      <c r="R28" s="32">
        <v>0.65</v>
      </c>
      <c r="S28" s="24">
        <f t="shared" si="16"/>
        <v>153</v>
      </c>
    </row>
    <row r="29" s="1" customFormat="1" spans="1:19">
      <c r="A29" s="10">
        <v>13</v>
      </c>
      <c r="B29" s="10">
        <v>440783</v>
      </c>
      <c r="C29" s="10" t="s">
        <v>69</v>
      </c>
      <c r="D29" s="10" t="s">
        <v>72</v>
      </c>
      <c r="E29" s="24">
        <f>VLOOKUP(D29,[1]摸底数!B:D,3,0)</f>
        <v>521740</v>
      </c>
      <c r="F29" s="24">
        <f>VLOOKUP(D29,[1]摸底数!B:G,6,0)</f>
        <v>48264</v>
      </c>
      <c r="G29" s="25">
        <f t="shared" si="17"/>
        <v>45279</v>
      </c>
      <c r="H29" s="26">
        <f t="shared" si="18"/>
        <v>90.56</v>
      </c>
      <c r="I29" s="32">
        <v>0.65</v>
      </c>
      <c r="J29" s="34">
        <f t="shared" si="19"/>
        <v>58.86</v>
      </c>
      <c r="K29" s="24">
        <v>37</v>
      </c>
      <c r="L29" s="17">
        <f t="shared" si="14"/>
        <v>95.86</v>
      </c>
      <c r="M29" s="24">
        <v>15</v>
      </c>
      <c r="N29" s="24">
        <v>15</v>
      </c>
      <c r="O29" s="24">
        <v>5</v>
      </c>
      <c r="P29" s="24"/>
      <c r="Q29" s="17">
        <f t="shared" si="15"/>
        <v>187.07</v>
      </c>
      <c r="R29" s="32">
        <v>0.65</v>
      </c>
      <c r="S29" s="24">
        <f t="shared" si="16"/>
        <v>122</v>
      </c>
    </row>
    <row r="30" s="1" customFormat="1" spans="1:19">
      <c r="A30" s="10">
        <v>14</v>
      </c>
      <c r="B30" s="10">
        <v>440784</v>
      </c>
      <c r="C30" s="10" t="s">
        <v>69</v>
      </c>
      <c r="D30" s="10" t="s">
        <v>73</v>
      </c>
      <c r="E30" s="24">
        <f>VLOOKUP(D30,[1]摸底数!B:D,3,0)</f>
        <v>391945</v>
      </c>
      <c r="F30" s="24">
        <f>VLOOKUP(D30,[1]摸底数!B:G,6,0)</f>
        <v>22155</v>
      </c>
      <c r="G30" s="25">
        <f t="shared" si="17"/>
        <v>36030</v>
      </c>
      <c r="H30" s="26">
        <f t="shared" si="18"/>
        <v>72.06</v>
      </c>
      <c r="I30" s="32">
        <v>0.65</v>
      </c>
      <c r="J30" s="34">
        <f t="shared" si="19"/>
        <v>46.84</v>
      </c>
      <c r="K30" s="24">
        <v>37</v>
      </c>
      <c r="L30" s="17">
        <f t="shared" si="14"/>
        <v>83.84</v>
      </c>
      <c r="M30" s="24">
        <v>15</v>
      </c>
      <c r="N30" s="24">
        <v>15</v>
      </c>
      <c r="O30" s="24">
        <v>5</v>
      </c>
      <c r="P30" s="24"/>
      <c r="Q30" s="17">
        <f t="shared" si="15"/>
        <v>156.55</v>
      </c>
      <c r="R30" s="32">
        <v>0.65</v>
      </c>
      <c r="S30" s="24">
        <f t="shared" si="16"/>
        <v>102</v>
      </c>
    </row>
    <row r="31" s="1" customFormat="1" spans="1:19">
      <c r="A31" s="10">
        <v>15</v>
      </c>
      <c r="B31" s="10">
        <v>440785</v>
      </c>
      <c r="C31" s="10" t="s">
        <v>69</v>
      </c>
      <c r="D31" s="10" t="s">
        <v>74</v>
      </c>
      <c r="E31" s="24">
        <f>VLOOKUP(D31,[1]摸底数!B:D,3,0)</f>
        <v>347983</v>
      </c>
      <c r="F31" s="24">
        <f>VLOOKUP(D31,[1]摸底数!B:G,6,0)</f>
        <v>32089</v>
      </c>
      <c r="G31" s="25">
        <f t="shared" si="17"/>
        <v>30214</v>
      </c>
      <c r="H31" s="26">
        <f t="shared" si="18"/>
        <v>60.43</v>
      </c>
      <c r="I31" s="32">
        <v>0.65</v>
      </c>
      <c r="J31" s="34">
        <f t="shared" si="19"/>
        <v>39.28</v>
      </c>
      <c r="K31" s="24">
        <v>37</v>
      </c>
      <c r="L31" s="17">
        <f t="shared" si="14"/>
        <v>76.28</v>
      </c>
      <c r="M31" s="24">
        <v>15</v>
      </c>
      <c r="N31" s="24">
        <v>15</v>
      </c>
      <c r="O31" s="24">
        <v>5</v>
      </c>
      <c r="P31" s="24"/>
      <c r="Q31" s="17">
        <f t="shared" si="15"/>
        <v>137.36</v>
      </c>
      <c r="R31" s="32">
        <v>0.65</v>
      </c>
      <c r="S31" s="24">
        <f t="shared" si="16"/>
        <v>89</v>
      </c>
    </row>
    <row r="32" s="4" customFormat="1" ht="14.25" spans="1:19">
      <c r="A32" s="22">
        <v>76</v>
      </c>
      <c r="B32" s="22">
        <v>440800</v>
      </c>
      <c r="C32" s="22" t="s">
        <v>75</v>
      </c>
      <c r="D32" s="23" t="s">
        <v>76</v>
      </c>
      <c r="E32" s="21">
        <f>SUM(E33:E38)</f>
        <v>3079356</v>
      </c>
      <c r="F32" s="21">
        <f>SUM(F33:F38)</f>
        <v>135836</v>
      </c>
      <c r="G32" s="21">
        <f>SUM(G33:G38)</f>
        <v>288530</v>
      </c>
      <c r="H32" s="21">
        <f>SUM(H33:H38)</f>
        <v>577.06</v>
      </c>
      <c r="I32" s="21"/>
      <c r="J32" s="21">
        <f t="shared" ref="J32:Q32" si="21">SUM(J33:J38)</f>
        <v>490.51</v>
      </c>
      <c r="K32" s="21">
        <f t="shared" si="21"/>
        <v>201</v>
      </c>
      <c r="L32" s="21">
        <f t="shared" si="21"/>
        <v>691.51</v>
      </c>
      <c r="M32" s="21">
        <f t="shared" si="21"/>
        <v>90</v>
      </c>
      <c r="N32" s="21">
        <f t="shared" si="21"/>
        <v>75</v>
      </c>
      <c r="O32" s="21">
        <f t="shared" si="21"/>
        <v>25</v>
      </c>
      <c r="P32" s="21">
        <f t="shared" si="21"/>
        <v>0</v>
      </c>
      <c r="Q32" s="21">
        <f t="shared" si="21"/>
        <v>1273.67</v>
      </c>
      <c r="R32" s="21"/>
      <c r="S32" s="21">
        <f>SUM(S33:S38)</f>
        <v>1082</v>
      </c>
    </row>
    <row r="33" s="4" customFormat="1" spans="1:19">
      <c r="A33" s="22"/>
      <c r="B33" s="22"/>
      <c r="C33" s="22"/>
      <c r="D33" s="10" t="s">
        <v>58</v>
      </c>
      <c r="E33" s="21"/>
      <c r="F33" s="24"/>
      <c r="G33" s="21"/>
      <c r="H33" s="22"/>
      <c r="I33" s="32">
        <v>0.85</v>
      </c>
      <c r="J33" s="32"/>
      <c r="K33" s="24">
        <v>16</v>
      </c>
      <c r="L33" s="17">
        <f t="shared" ref="L33:L38" si="22">ROUND(J33+K33,2)</f>
        <v>16</v>
      </c>
      <c r="M33" s="24">
        <v>15</v>
      </c>
      <c r="N33" s="21"/>
      <c r="O33" s="21"/>
      <c r="P33" s="21"/>
      <c r="Q33" s="17">
        <f t="shared" ref="Q33:Q38" si="23">SUM(H33:K33)</f>
        <v>16.85</v>
      </c>
      <c r="R33" s="32">
        <v>0.85</v>
      </c>
      <c r="S33" s="24">
        <f t="shared" ref="S33:S38" si="24">ROUND(Q33*R33,0)</f>
        <v>14</v>
      </c>
    </row>
    <row r="34" s="1" customFormat="1" spans="1:19">
      <c r="A34" s="10">
        <v>17</v>
      </c>
      <c r="B34" s="10">
        <v>440823</v>
      </c>
      <c r="C34" s="10" t="s">
        <v>75</v>
      </c>
      <c r="D34" s="10" t="s">
        <v>77</v>
      </c>
      <c r="E34" s="24">
        <f>VLOOKUP(D34,[1]摸底数!B:D,3,0)</f>
        <v>497405</v>
      </c>
      <c r="F34" s="24">
        <f>VLOOKUP(D34,[1]摸底数!B:G,6,0)</f>
        <v>18499</v>
      </c>
      <c r="G34" s="25">
        <f t="shared" ref="G34:G38" si="25">ROUND((E34-F34/0.7)*0.1,0)</f>
        <v>47098</v>
      </c>
      <c r="H34" s="26">
        <f t="shared" ref="H34:H38" si="26">ROUND(G34*20/10000,2)</f>
        <v>94.2</v>
      </c>
      <c r="I34" s="32">
        <v>0.85</v>
      </c>
      <c r="J34" s="34">
        <f t="shared" ref="J34:J38" si="27">ROUND(H34*I34,2)</f>
        <v>80.07</v>
      </c>
      <c r="K34" s="24">
        <v>37</v>
      </c>
      <c r="L34" s="17">
        <f t="shared" si="22"/>
        <v>117.07</v>
      </c>
      <c r="M34" s="24">
        <v>15</v>
      </c>
      <c r="N34" s="24">
        <v>15</v>
      </c>
      <c r="O34" s="24">
        <v>5</v>
      </c>
      <c r="P34" s="24"/>
      <c r="Q34" s="17">
        <f t="shared" si="23"/>
        <v>212.12</v>
      </c>
      <c r="R34" s="32">
        <v>0.85</v>
      </c>
      <c r="S34" s="24">
        <f t="shared" si="24"/>
        <v>180</v>
      </c>
    </row>
    <row r="35" s="1" customFormat="1" spans="1:19">
      <c r="A35" s="10">
        <v>18</v>
      </c>
      <c r="B35" s="10">
        <v>440825</v>
      </c>
      <c r="C35" s="10" t="s">
        <v>75</v>
      </c>
      <c r="D35" s="10" t="s">
        <v>78</v>
      </c>
      <c r="E35" s="24">
        <f>VLOOKUP(D35,[1]摸底数!B:D,3,0)</f>
        <v>454269</v>
      </c>
      <c r="F35" s="24">
        <f>VLOOKUP(D35,[1]摸底数!B:G,6,0)</f>
        <v>18583</v>
      </c>
      <c r="G35" s="25">
        <f t="shared" si="25"/>
        <v>42772</v>
      </c>
      <c r="H35" s="26">
        <f t="shared" si="26"/>
        <v>85.54</v>
      </c>
      <c r="I35" s="32">
        <v>0.85</v>
      </c>
      <c r="J35" s="34">
        <f t="shared" si="27"/>
        <v>72.71</v>
      </c>
      <c r="K35" s="24">
        <v>37</v>
      </c>
      <c r="L35" s="17">
        <f t="shared" si="22"/>
        <v>109.71</v>
      </c>
      <c r="M35" s="24">
        <v>15</v>
      </c>
      <c r="N35" s="24">
        <v>15</v>
      </c>
      <c r="O35" s="24">
        <v>5</v>
      </c>
      <c r="P35" s="24"/>
      <c r="Q35" s="17">
        <f t="shared" si="23"/>
        <v>196.1</v>
      </c>
      <c r="R35" s="32">
        <v>0.85</v>
      </c>
      <c r="S35" s="24">
        <f t="shared" si="24"/>
        <v>167</v>
      </c>
    </row>
    <row r="36" s="1" customFormat="1" spans="1:19">
      <c r="A36" s="10">
        <v>19</v>
      </c>
      <c r="B36" s="10">
        <v>440881</v>
      </c>
      <c r="C36" s="10" t="s">
        <v>75</v>
      </c>
      <c r="D36" s="10" t="s">
        <v>79</v>
      </c>
      <c r="E36" s="24">
        <f>VLOOKUP(D36,[1]摸底数!B:D,3,0)</f>
        <v>801879</v>
      </c>
      <c r="F36" s="24">
        <f>VLOOKUP(D36,[1]摸底数!B:G,6,0)</f>
        <v>28973</v>
      </c>
      <c r="G36" s="25">
        <f t="shared" si="25"/>
        <v>76049</v>
      </c>
      <c r="H36" s="26">
        <f t="shared" si="26"/>
        <v>152.1</v>
      </c>
      <c r="I36" s="32">
        <v>0.85</v>
      </c>
      <c r="J36" s="34">
        <f t="shared" si="27"/>
        <v>129.29</v>
      </c>
      <c r="K36" s="24">
        <v>37</v>
      </c>
      <c r="L36" s="17">
        <f t="shared" si="22"/>
        <v>166.29</v>
      </c>
      <c r="M36" s="24">
        <v>15</v>
      </c>
      <c r="N36" s="24">
        <v>15</v>
      </c>
      <c r="O36" s="24">
        <v>5</v>
      </c>
      <c r="P36" s="24"/>
      <c r="Q36" s="17">
        <f t="shared" si="23"/>
        <v>319.24</v>
      </c>
      <c r="R36" s="32">
        <v>0.85</v>
      </c>
      <c r="S36" s="24">
        <f t="shared" si="24"/>
        <v>271</v>
      </c>
    </row>
    <row r="37" s="1" customFormat="1" spans="1:19">
      <c r="A37" s="10">
        <v>20</v>
      </c>
      <c r="B37" s="10">
        <v>440882</v>
      </c>
      <c r="C37" s="10" t="s">
        <v>75</v>
      </c>
      <c r="D37" s="10" t="s">
        <v>80</v>
      </c>
      <c r="E37" s="24">
        <f>VLOOKUP(D37,[1]摸底数!B:D,3,0)</f>
        <v>775857</v>
      </c>
      <c r="F37" s="24">
        <f>VLOOKUP(D37,[1]摸底数!B:G,6,0)</f>
        <v>16123</v>
      </c>
      <c r="G37" s="25">
        <f t="shared" si="25"/>
        <v>75282</v>
      </c>
      <c r="H37" s="26">
        <f t="shared" si="26"/>
        <v>150.56</v>
      </c>
      <c r="I37" s="32">
        <v>0.85</v>
      </c>
      <c r="J37" s="34">
        <f t="shared" si="27"/>
        <v>127.98</v>
      </c>
      <c r="K37" s="24">
        <v>37</v>
      </c>
      <c r="L37" s="17">
        <f t="shared" si="22"/>
        <v>164.98</v>
      </c>
      <c r="M37" s="24">
        <v>15</v>
      </c>
      <c r="N37" s="24">
        <v>15</v>
      </c>
      <c r="O37" s="24">
        <v>5</v>
      </c>
      <c r="P37" s="24"/>
      <c r="Q37" s="17">
        <f t="shared" si="23"/>
        <v>316.39</v>
      </c>
      <c r="R37" s="32">
        <v>0.85</v>
      </c>
      <c r="S37" s="24">
        <f t="shared" si="24"/>
        <v>269</v>
      </c>
    </row>
    <row r="38" s="1" customFormat="1" spans="1:19">
      <c r="A38" s="10">
        <v>21</v>
      </c>
      <c r="B38" s="10">
        <v>440883</v>
      </c>
      <c r="C38" s="10" t="s">
        <v>75</v>
      </c>
      <c r="D38" s="10" t="s">
        <v>81</v>
      </c>
      <c r="E38" s="24">
        <f>VLOOKUP(D38,[1]摸底数!B:D,3,0)</f>
        <v>549946</v>
      </c>
      <c r="F38" s="24">
        <f>VLOOKUP(D38,[1]摸底数!B:G,6,0)</f>
        <v>53658</v>
      </c>
      <c r="G38" s="25">
        <f t="shared" si="25"/>
        <v>47329</v>
      </c>
      <c r="H38" s="26">
        <f t="shared" si="26"/>
        <v>94.66</v>
      </c>
      <c r="I38" s="32">
        <v>0.85</v>
      </c>
      <c r="J38" s="34">
        <f t="shared" si="27"/>
        <v>80.46</v>
      </c>
      <c r="K38" s="24">
        <v>37</v>
      </c>
      <c r="L38" s="17">
        <f t="shared" si="22"/>
        <v>117.46</v>
      </c>
      <c r="M38" s="24">
        <v>15</v>
      </c>
      <c r="N38" s="24">
        <v>15</v>
      </c>
      <c r="O38" s="24">
        <v>5</v>
      </c>
      <c r="P38" s="24"/>
      <c r="Q38" s="17">
        <f t="shared" si="23"/>
        <v>212.97</v>
      </c>
      <c r="R38" s="32">
        <v>0.85</v>
      </c>
      <c r="S38" s="24">
        <f t="shared" si="24"/>
        <v>181</v>
      </c>
    </row>
    <row r="39" s="4" customFormat="1" ht="14.25" spans="1:19">
      <c r="A39" s="22">
        <v>77</v>
      </c>
      <c r="B39" s="22">
        <v>440900</v>
      </c>
      <c r="C39" s="22" t="s">
        <v>82</v>
      </c>
      <c r="D39" s="23" t="s">
        <v>83</v>
      </c>
      <c r="E39" s="21">
        <f>SUM(E40:E43)</f>
        <v>1860263</v>
      </c>
      <c r="F39" s="21">
        <f>SUM(F40:F43)</f>
        <v>80589</v>
      </c>
      <c r="G39" s="21">
        <f>SUM(G40:G43)</f>
        <v>174513</v>
      </c>
      <c r="H39" s="21">
        <f>SUM(H40:H43)</f>
        <v>349.03</v>
      </c>
      <c r="I39" s="21"/>
      <c r="J39" s="21">
        <f t="shared" ref="J39:Q39" si="28">SUM(J40:J43)</f>
        <v>296.67</v>
      </c>
      <c r="K39" s="21">
        <f t="shared" si="28"/>
        <v>127</v>
      </c>
      <c r="L39" s="21">
        <f t="shared" si="28"/>
        <v>423.67</v>
      </c>
      <c r="M39" s="21">
        <f t="shared" si="28"/>
        <v>60</v>
      </c>
      <c r="N39" s="21">
        <f t="shared" si="28"/>
        <v>45</v>
      </c>
      <c r="O39" s="21">
        <f t="shared" si="28"/>
        <v>15</v>
      </c>
      <c r="P39" s="21">
        <f t="shared" si="28"/>
        <v>0</v>
      </c>
      <c r="Q39" s="21">
        <f t="shared" si="28"/>
        <v>776.1</v>
      </c>
      <c r="R39" s="21"/>
      <c r="S39" s="21">
        <f>SUM(S40:S43)</f>
        <v>659</v>
      </c>
    </row>
    <row r="40" s="4" customFormat="1" spans="1:19">
      <c r="A40" s="22"/>
      <c r="B40" s="22"/>
      <c r="C40" s="22"/>
      <c r="D40" s="10" t="s">
        <v>58</v>
      </c>
      <c r="E40" s="21"/>
      <c r="F40" s="24"/>
      <c r="G40" s="21"/>
      <c r="H40" s="22"/>
      <c r="I40" s="32">
        <v>0.85</v>
      </c>
      <c r="J40" s="32"/>
      <c r="K40" s="24">
        <v>16</v>
      </c>
      <c r="L40" s="17">
        <f t="shared" ref="L40:L43" si="29">ROUND(J40+K40,2)</f>
        <v>16</v>
      </c>
      <c r="M40" s="24">
        <v>15</v>
      </c>
      <c r="N40" s="21"/>
      <c r="O40" s="21"/>
      <c r="P40" s="21"/>
      <c r="Q40" s="17">
        <f t="shared" ref="Q40:Q43" si="30">SUM(H40:K40)</f>
        <v>16.85</v>
      </c>
      <c r="R40" s="32">
        <v>0.85</v>
      </c>
      <c r="S40" s="24">
        <f t="shared" ref="S40:S43" si="31">ROUND(Q40*R40,0)</f>
        <v>14</v>
      </c>
    </row>
    <row r="41" s="1" customFormat="1" spans="1:19">
      <c r="A41" s="10">
        <v>23</v>
      </c>
      <c r="B41" s="10">
        <v>440981</v>
      </c>
      <c r="C41" s="10" t="s">
        <v>82</v>
      </c>
      <c r="D41" s="10" t="s">
        <v>84</v>
      </c>
      <c r="E41" s="24">
        <f>VLOOKUP(D41,[1]摸底数!B:D,3,0)</f>
        <v>712309</v>
      </c>
      <c r="F41" s="24">
        <f>VLOOKUP(D41,[1]摸底数!B:G,6,0)</f>
        <v>35048</v>
      </c>
      <c r="G41" s="25">
        <f t="shared" ref="G41:G43" si="32">ROUND((E41-F41/0.7)*0.1,0)</f>
        <v>66224</v>
      </c>
      <c r="H41" s="26">
        <f t="shared" ref="H41:H43" si="33">ROUND(G41*20/10000,2)</f>
        <v>132.45</v>
      </c>
      <c r="I41" s="32">
        <v>0.85</v>
      </c>
      <c r="J41" s="34">
        <f t="shared" ref="J41:J43" si="34">ROUND(H41*I41,2)</f>
        <v>112.58</v>
      </c>
      <c r="K41" s="24">
        <v>37</v>
      </c>
      <c r="L41" s="17">
        <f t="shared" si="29"/>
        <v>149.58</v>
      </c>
      <c r="M41" s="24">
        <v>15</v>
      </c>
      <c r="N41" s="24">
        <v>15</v>
      </c>
      <c r="O41" s="24">
        <v>5</v>
      </c>
      <c r="P41" s="24"/>
      <c r="Q41" s="17">
        <f t="shared" si="30"/>
        <v>282.88</v>
      </c>
      <c r="R41" s="32">
        <v>0.85</v>
      </c>
      <c r="S41" s="24">
        <f t="shared" si="31"/>
        <v>240</v>
      </c>
    </row>
    <row r="42" s="1" customFormat="1" spans="1:19">
      <c r="A42" s="10">
        <v>24</v>
      </c>
      <c r="B42" s="10">
        <v>440982</v>
      </c>
      <c r="C42" s="10" t="s">
        <v>82</v>
      </c>
      <c r="D42" s="10" t="s">
        <v>85</v>
      </c>
      <c r="E42" s="24">
        <f>VLOOKUP(D42,[1]摸底数!B:D,3,0)</f>
        <v>614131</v>
      </c>
      <c r="F42" s="24">
        <f>VLOOKUP(D42,[1]摸底数!B:G,6,0)</f>
        <v>19558</v>
      </c>
      <c r="G42" s="25">
        <f t="shared" si="32"/>
        <v>58619</v>
      </c>
      <c r="H42" s="26">
        <f t="shared" si="33"/>
        <v>117.24</v>
      </c>
      <c r="I42" s="32">
        <v>0.85</v>
      </c>
      <c r="J42" s="34">
        <f t="shared" si="34"/>
        <v>99.65</v>
      </c>
      <c r="K42" s="24">
        <v>37</v>
      </c>
      <c r="L42" s="17">
        <f t="shared" si="29"/>
        <v>136.65</v>
      </c>
      <c r="M42" s="24">
        <v>15</v>
      </c>
      <c r="N42" s="24">
        <v>15</v>
      </c>
      <c r="O42" s="24">
        <v>5</v>
      </c>
      <c r="P42" s="24"/>
      <c r="Q42" s="17">
        <f t="shared" si="30"/>
        <v>254.74</v>
      </c>
      <c r="R42" s="32">
        <v>0.85</v>
      </c>
      <c r="S42" s="24">
        <f t="shared" si="31"/>
        <v>217</v>
      </c>
    </row>
    <row r="43" s="1" customFormat="1" spans="1:19">
      <c r="A43" s="10">
        <v>25</v>
      </c>
      <c r="B43" s="10">
        <v>440983</v>
      </c>
      <c r="C43" s="10" t="s">
        <v>82</v>
      </c>
      <c r="D43" s="10" t="s">
        <v>86</v>
      </c>
      <c r="E43" s="24">
        <f>VLOOKUP(D43,[1]摸底数!B:D,3,0)</f>
        <v>533823</v>
      </c>
      <c r="F43" s="24">
        <f>VLOOKUP(D43,[1]摸底数!B:G,6,0)</f>
        <v>25983</v>
      </c>
      <c r="G43" s="25">
        <f t="shared" si="32"/>
        <v>49670</v>
      </c>
      <c r="H43" s="26">
        <f t="shared" si="33"/>
        <v>99.34</v>
      </c>
      <c r="I43" s="32">
        <v>0.85</v>
      </c>
      <c r="J43" s="34">
        <f t="shared" si="34"/>
        <v>84.44</v>
      </c>
      <c r="K43" s="24">
        <v>37</v>
      </c>
      <c r="L43" s="17">
        <f t="shared" si="29"/>
        <v>121.44</v>
      </c>
      <c r="M43" s="24">
        <v>15</v>
      </c>
      <c r="N43" s="24">
        <v>15</v>
      </c>
      <c r="O43" s="24">
        <v>5</v>
      </c>
      <c r="P43" s="24"/>
      <c r="Q43" s="17">
        <f t="shared" si="30"/>
        <v>221.63</v>
      </c>
      <c r="R43" s="32">
        <v>0.85</v>
      </c>
      <c r="S43" s="24">
        <f t="shared" si="31"/>
        <v>188</v>
      </c>
    </row>
    <row r="44" s="4" customFormat="1" ht="14.25" spans="1:19">
      <c r="A44" s="22">
        <v>78</v>
      </c>
      <c r="B44" s="22">
        <v>441200</v>
      </c>
      <c r="C44" s="22" t="s">
        <v>87</v>
      </c>
      <c r="D44" s="23" t="s">
        <v>88</v>
      </c>
      <c r="E44" s="21">
        <f>SUM(E45:E50)</f>
        <v>1384019</v>
      </c>
      <c r="F44" s="21">
        <f>SUM(F45:F50)</f>
        <v>71147</v>
      </c>
      <c r="G44" s="21">
        <f>SUM(G45:G50)</f>
        <v>128238</v>
      </c>
      <c r="H44" s="21">
        <f>SUM(H45:H50)</f>
        <v>256.48</v>
      </c>
      <c r="I44" s="21"/>
      <c r="J44" s="21">
        <f t="shared" ref="J44:Q44" si="35">SUM(J45:J50)</f>
        <v>205.19</v>
      </c>
      <c r="K44" s="21">
        <f t="shared" si="35"/>
        <v>201</v>
      </c>
      <c r="L44" s="21">
        <f t="shared" si="35"/>
        <v>406.19</v>
      </c>
      <c r="M44" s="21">
        <f t="shared" si="35"/>
        <v>90</v>
      </c>
      <c r="N44" s="21">
        <f t="shared" si="35"/>
        <v>75</v>
      </c>
      <c r="O44" s="21">
        <f t="shared" si="35"/>
        <v>25</v>
      </c>
      <c r="P44" s="21">
        <f t="shared" si="35"/>
        <v>0</v>
      </c>
      <c r="Q44" s="21">
        <f t="shared" si="35"/>
        <v>667.37</v>
      </c>
      <c r="R44" s="21"/>
      <c r="S44" s="21">
        <f>SUM(S45:S50)</f>
        <v>535</v>
      </c>
    </row>
    <row r="45" s="4" customFormat="1" spans="1:19">
      <c r="A45" s="22"/>
      <c r="B45" s="22"/>
      <c r="C45" s="22"/>
      <c r="D45" s="10" t="s">
        <v>58</v>
      </c>
      <c r="E45" s="21"/>
      <c r="F45" s="24"/>
      <c r="G45" s="21"/>
      <c r="H45" s="22"/>
      <c r="I45" s="32">
        <v>0.65</v>
      </c>
      <c r="J45" s="32"/>
      <c r="K45" s="24">
        <v>16</v>
      </c>
      <c r="L45" s="17">
        <f t="shared" ref="L45:L50" si="36">ROUND(J45+K45,2)</f>
        <v>16</v>
      </c>
      <c r="M45" s="24">
        <v>15</v>
      </c>
      <c r="N45" s="21"/>
      <c r="O45" s="21"/>
      <c r="P45" s="21"/>
      <c r="Q45" s="17">
        <f t="shared" ref="Q45:Q50" si="37">SUM(H45:K45)</f>
        <v>16.65</v>
      </c>
      <c r="R45" s="32">
        <v>0.65</v>
      </c>
      <c r="S45" s="24">
        <f t="shared" ref="S45:S50" si="38">ROUND(Q45*R45,0)</f>
        <v>11</v>
      </c>
    </row>
    <row r="46" s="1" customFormat="1" spans="1:19">
      <c r="A46" s="10">
        <v>27</v>
      </c>
      <c r="B46" s="10">
        <v>441223</v>
      </c>
      <c r="C46" s="10" t="s">
        <v>87</v>
      </c>
      <c r="D46" s="10" t="s">
        <v>89</v>
      </c>
      <c r="E46" s="24">
        <f>VLOOKUP(D46,[1]摸底数!B:D,3,0)</f>
        <v>254266</v>
      </c>
      <c r="F46" s="24">
        <f>VLOOKUP(D46,[1]摸底数!B:G,6,0)</f>
        <v>14149</v>
      </c>
      <c r="G46" s="25">
        <f t="shared" ref="G46:G50" si="39">ROUND((E46-F46/0.7)*0.1,0)</f>
        <v>23405</v>
      </c>
      <c r="H46" s="26">
        <f t="shared" ref="H46:H50" si="40">ROUND(G46*20/10000,2)</f>
        <v>46.81</v>
      </c>
      <c r="I46" s="32">
        <v>0.85</v>
      </c>
      <c r="J46" s="34">
        <f t="shared" ref="J46:J50" si="41">ROUND(H46*I46,2)</f>
        <v>39.79</v>
      </c>
      <c r="K46" s="24">
        <v>37</v>
      </c>
      <c r="L46" s="17">
        <f t="shared" si="36"/>
        <v>76.79</v>
      </c>
      <c r="M46" s="24">
        <v>15</v>
      </c>
      <c r="N46" s="24">
        <v>15</v>
      </c>
      <c r="O46" s="24">
        <v>5</v>
      </c>
      <c r="P46" s="24"/>
      <c r="Q46" s="17">
        <f t="shared" si="37"/>
        <v>124.45</v>
      </c>
      <c r="R46" s="32">
        <v>0.85</v>
      </c>
      <c r="S46" s="24">
        <f t="shared" si="38"/>
        <v>106</v>
      </c>
    </row>
    <row r="47" s="1" customFormat="1" spans="1:19">
      <c r="A47" s="10">
        <v>28</v>
      </c>
      <c r="B47" s="10">
        <v>441224</v>
      </c>
      <c r="C47" s="10" t="s">
        <v>87</v>
      </c>
      <c r="D47" s="10" t="s">
        <v>90</v>
      </c>
      <c r="E47" s="24">
        <f>VLOOKUP(D47,[1]摸底数!B:D,3,0)</f>
        <v>386138</v>
      </c>
      <c r="F47" s="24">
        <f>VLOOKUP(D47,[1]摸底数!B:G,6,0)</f>
        <v>23002</v>
      </c>
      <c r="G47" s="25">
        <f t="shared" si="39"/>
        <v>35328</v>
      </c>
      <c r="H47" s="26">
        <f t="shared" si="40"/>
        <v>70.66</v>
      </c>
      <c r="I47" s="32">
        <v>0.85</v>
      </c>
      <c r="J47" s="34">
        <f t="shared" si="41"/>
        <v>60.06</v>
      </c>
      <c r="K47" s="24">
        <v>37</v>
      </c>
      <c r="L47" s="17">
        <f t="shared" si="36"/>
        <v>97.06</v>
      </c>
      <c r="M47" s="24">
        <v>15</v>
      </c>
      <c r="N47" s="24">
        <v>15</v>
      </c>
      <c r="O47" s="24">
        <v>5</v>
      </c>
      <c r="P47" s="24"/>
      <c r="Q47" s="17">
        <f t="shared" si="37"/>
        <v>168.57</v>
      </c>
      <c r="R47" s="32">
        <v>0.85</v>
      </c>
      <c r="S47" s="24">
        <f t="shared" si="38"/>
        <v>143</v>
      </c>
    </row>
    <row r="48" s="1" customFormat="1" spans="1:19">
      <c r="A48" s="10">
        <v>29</v>
      </c>
      <c r="B48" s="10">
        <v>441225</v>
      </c>
      <c r="C48" s="10" t="s">
        <v>87</v>
      </c>
      <c r="D48" s="10" t="s">
        <v>91</v>
      </c>
      <c r="E48" s="24">
        <f>VLOOKUP(D48,[1]摸底数!B:D,3,0)</f>
        <v>196861</v>
      </c>
      <c r="F48" s="24">
        <f>VLOOKUP(D48,[1]摸底数!B:G,6,0)</f>
        <v>14286</v>
      </c>
      <c r="G48" s="25">
        <f t="shared" si="39"/>
        <v>17645</v>
      </c>
      <c r="H48" s="26">
        <f t="shared" si="40"/>
        <v>35.29</v>
      </c>
      <c r="I48" s="32">
        <v>0.85</v>
      </c>
      <c r="J48" s="34">
        <f t="shared" si="41"/>
        <v>30</v>
      </c>
      <c r="K48" s="24">
        <v>37</v>
      </c>
      <c r="L48" s="17">
        <f t="shared" si="36"/>
        <v>67</v>
      </c>
      <c r="M48" s="24">
        <v>15</v>
      </c>
      <c r="N48" s="24">
        <v>15</v>
      </c>
      <c r="O48" s="24">
        <v>5</v>
      </c>
      <c r="P48" s="24"/>
      <c r="Q48" s="17">
        <f t="shared" si="37"/>
        <v>103.14</v>
      </c>
      <c r="R48" s="32">
        <v>0.85</v>
      </c>
      <c r="S48" s="24">
        <f t="shared" si="38"/>
        <v>88</v>
      </c>
    </row>
    <row r="49" s="1" customFormat="1" spans="1:19">
      <c r="A49" s="10">
        <v>30</v>
      </c>
      <c r="B49" s="10">
        <v>441226</v>
      </c>
      <c r="C49" s="10" t="s">
        <v>87</v>
      </c>
      <c r="D49" s="10" t="s">
        <v>92</v>
      </c>
      <c r="E49" s="24">
        <f>VLOOKUP(D49,[1]摸底数!B:D,3,0)</f>
        <v>207985</v>
      </c>
      <c r="F49" s="24">
        <f>VLOOKUP(D49,[1]摸底数!B:G,6,0)</f>
        <v>6944</v>
      </c>
      <c r="G49" s="25">
        <f t="shared" si="39"/>
        <v>19807</v>
      </c>
      <c r="H49" s="26">
        <f t="shared" si="40"/>
        <v>39.61</v>
      </c>
      <c r="I49" s="32">
        <v>0.85</v>
      </c>
      <c r="J49" s="34">
        <f t="shared" si="41"/>
        <v>33.67</v>
      </c>
      <c r="K49" s="24">
        <v>37</v>
      </c>
      <c r="L49" s="17">
        <f t="shared" si="36"/>
        <v>70.67</v>
      </c>
      <c r="M49" s="24">
        <v>15</v>
      </c>
      <c r="N49" s="24">
        <v>15</v>
      </c>
      <c r="O49" s="24">
        <v>5</v>
      </c>
      <c r="P49" s="24"/>
      <c r="Q49" s="17">
        <f t="shared" si="37"/>
        <v>111.13</v>
      </c>
      <c r="R49" s="32">
        <v>0.85</v>
      </c>
      <c r="S49" s="24">
        <f t="shared" si="38"/>
        <v>94</v>
      </c>
    </row>
    <row r="50" s="1" customFormat="1" spans="1:19">
      <c r="A50" s="10">
        <v>31</v>
      </c>
      <c r="B50" s="10">
        <v>441284</v>
      </c>
      <c r="C50" s="10" t="s">
        <v>87</v>
      </c>
      <c r="D50" s="10" t="s">
        <v>93</v>
      </c>
      <c r="E50" s="24">
        <f>VLOOKUP(D50,[1]摸底数!B:D,3,0)</f>
        <v>338769</v>
      </c>
      <c r="F50" s="24">
        <f>VLOOKUP(D50,[1]摸底数!B:G,6,0)</f>
        <v>12766</v>
      </c>
      <c r="G50" s="25">
        <f t="shared" si="39"/>
        <v>32053</v>
      </c>
      <c r="H50" s="26">
        <f t="shared" si="40"/>
        <v>64.11</v>
      </c>
      <c r="I50" s="32">
        <v>0.65</v>
      </c>
      <c r="J50" s="34">
        <f t="shared" si="41"/>
        <v>41.67</v>
      </c>
      <c r="K50" s="24">
        <v>37</v>
      </c>
      <c r="L50" s="17">
        <f t="shared" si="36"/>
        <v>78.67</v>
      </c>
      <c r="M50" s="24">
        <v>15</v>
      </c>
      <c r="N50" s="24">
        <v>15</v>
      </c>
      <c r="O50" s="24">
        <v>5</v>
      </c>
      <c r="P50" s="24"/>
      <c r="Q50" s="17">
        <f t="shared" si="37"/>
        <v>143.43</v>
      </c>
      <c r="R50" s="32">
        <v>0.65</v>
      </c>
      <c r="S50" s="24">
        <f t="shared" si="38"/>
        <v>93</v>
      </c>
    </row>
    <row r="51" s="4" customFormat="1" ht="14.25" spans="1:19">
      <c r="A51" s="22">
        <v>79</v>
      </c>
      <c r="B51" s="22">
        <v>441300</v>
      </c>
      <c r="C51" s="22" t="s">
        <v>94</v>
      </c>
      <c r="D51" s="23" t="s">
        <v>95</v>
      </c>
      <c r="E51" s="21">
        <f>SUM(E52:E55)</f>
        <v>1656785</v>
      </c>
      <c r="F51" s="21">
        <f>SUM(F52:F55)</f>
        <v>45262</v>
      </c>
      <c r="G51" s="21">
        <f>SUM(G52:G55)</f>
        <v>159212</v>
      </c>
      <c r="H51" s="21">
        <f>SUM(H52:H55)</f>
        <v>318.42</v>
      </c>
      <c r="I51" s="21"/>
      <c r="J51" s="21">
        <f t="shared" ref="J51:Q51" si="42">SUM(J52:J55)</f>
        <v>259.12</v>
      </c>
      <c r="K51" s="21">
        <f t="shared" si="42"/>
        <v>127</v>
      </c>
      <c r="L51" s="21">
        <f t="shared" si="42"/>
        <v>386.12</v>
      </c>
      <c r="M51" s="21">
        <f t="shared" si="42"/>
        <v>60</v>
      </c>
      <c r="N51" s="21">
        <f t="shared" si="42"/>
        <v>45</v>
      </c>
      <c r="O51" s="21">
        <f t="shared" si="42"/>
        <v>15</v>
      </c>
      <c r="P51" s="21">
        <f t="shared" si="42"/>
        <v>0</v>
      </c>
      <c r="Q51" s="21">
        <f t="shared" si="42"/>
        <v>707.69</v>
      </c>
      <c r="R51" s="21"/>
      <c r="S51" s="21">
        <f>SUM(S52:S55)</f>
        <v>584</v>
      </c>
    </row>
    <row r="52" s="4" customFormat="1" spans="1:19">
      <c r="A52" s="22"/>
      <c r="B52" s="22"/>
      <c r="C52" s="22"/>
      <c r="D52" s="10" t="s">
        <v>58</v>
      </c>
      <c r="E52" s="21"/>
      <c r="F52" s="24"/>
      <c r="G52" s="21"/>
      <c r="H52" s="22"/>
      <c r="I52" s="32">
        <v>0.65</v>
      </c>
      <c r="J52" s="32"/>
      <c r="K52" s="24">
        <v>16</v>
      </c>
      <c r="L52" s="17">
        <f t="shared" ref="L52:L55" si="43">ROUND(J52+K52,2)</f>
        <v>16</v>
      </c>
      <c r="M52" s="24">
        <v>15</v>
      </c>
      <c r="N52" s="21"/>
      <c r="O52" s="21"/>
      <c r="P52" s="21"/>
      <c r="Q52" s="17">
        <f t="shared" ref="Q52:Q55" si="44">SUM(H52:K52)</f>
        <v>16.65</v>
      </c>
      <c r="R52" s="32">
        <v>0.65</v>
      </c>
      <c r="S52" s="24">
        <f t="shared" ref="S52:S55" si="45">ROUND(Q52*R52,0)</f>
        <v>11</v>
      </c>
    </row>
    <row r="53" s="1" customFormat="1" spans="1:19">
      <c r="A53" s="10">
        <v>33</v>
      </c>
      <c r="B53" s="10">
        <v>441322</v>
      </c>
      <c r="C53" s="10" t="s">
        <v>94</v>
      </c>
      <c r="D53" s="10" t="s">
        <v>96</v>
      </c>
      <c r="E53" s="24">
        <f>VLOOKUP(D53,[1]摸底数!B:D,3,0)</f>
        <v>826100</v>
      </c>
      <c r="F53" s="24">
        <f>VLOOKUP(D53,[1]摸底数!B:G,6,0)</f>
        <v>33822</v>
      </c>
      <c r="G53" s="25">
        <f t="shared" ref="G53:G55" si="46">ROUND((E53-F53/0.7)*0.1,0)</f>
        <v>77778</v>
      </c>
      <c r="H53" s="26">
        <f t="shared" ref="H53:H55" si="47">ROUND(G53*20/10000,2)</f>
        <v>155.56</v>
      </c>
      <c r="I53" s="32">
        <v>0.65</v>
      </c>
      <c r="J53" s="34">
        <f t="shared" ref="J53:J55" si="48">ROUND(H53*I53,2)</f>
        <v>101.11</v>
      </c>
      <c r="K53" s="24">
        <v>37</v>
      </c>
      <c r="L53" s="17">
        <f t="shared" si="43"/>
        <v>138.11</v>
      </c>
      <c r="M53" s="24">
        <v>15</v>
      </c>
      <c r="N53" s="24">
        <v>15</v>
      </c>
      <c r="O53" s="24">
        <v>5</v>
      </c>
      <c r="P53" s="24"/>
      <c r="Q53" s="17">
        <f t="shared" si="44"/>
        <v>294.32</v>
      </c>
      <c r="R53" s="32">
        <v>0.65</v>
      </c>
      <c r="S53" s="24">
        <f t="shared" si="45"/>
        <v>191</v>
      </c>
    </row>
    <row r="54" s="1" customFormat="1" spans="1:19">
      <c r="A54" s="10">
        <v>34</v>
      </c>
      <c r="B54" s="10">
        <v>441323</v>
      </c>
      <c r="C54" s="10" t="s">
        <v>94</v>
      </c>
      <c r="D54" s="10" t="s">
        <v>97</v>
      </c>
      <c r="E54" s="24">
        <f>VLOOKUP(D54,[1]摸底数!B:D,3,0)</f>
        <v>667221</v>
      </c>
      <c r="F54" s="24">
        <f>VLOOKUP(D54,[1]摸底数!B:G,6,0)</f>
        <v>10117</v>
      </c>
      <c r="G54" s="25">
        <f t="shared" si="46"/>
        <v>65277</v>
      </c>
      <c r="H54" s="26">
        <f t="shared" si="47"/>
        <v>130.55</v>
      </c>
      <c r="I54" s="32">
        <v>1</v>
      </c>
      <c r="J54" s="34">
        <f t="shared" si="48"/>
        <v>130.55</v>
      </c>
      <c r="K54" s="24">
        <v>37</v>
      </c>
      <c r="L54" s="17">
        <f t="shared" si="43"/>
        <v>167.55</v>
      </c>
      <c r="M54" s="24">
        <v>15</v>
      </c>
      <c r="N54" s="24">
        <v>15</v>
      </c>
      <c r="O54" s="24">
        <v>5</v>
      </c>
      <c r="P54" s="24"/>
      <c r="Q54" s="17">
        <f t="shared" si="44"/>
        <v>299.1</v>
      </c>
      <c r="R54" s="32">
        <v>1</v>
      </c>
      <c r="S54" s="24">
        <f t="shared" si="45"/>
        <v>299</v>
      </c>
    </row>
    <row r="55" s="1" customFormat="1" spans="1:19">
      <c r="A55" s="10">
        <v>35</v>
      </c>
      <c r="B55" s="10">
        <v>441324</v>
      </c>
      <c r="C55" s="10" t="s">
        <v>94</v>
      </c>
      <c r="D55" s="10" t="s">
        <v>98</v>
      </c>
      <c r="E55" s="24">
        <f>VLOOKUP(D55,[1]摸底数!B:D,3,0)</f>
        <v>163464</v>
      </c>
      <c r="F55" s="24">
        <f>VLOOKUP(D55,[1]摸底数!B:G,6,0)</f>
        <v>1323</v>
      </c>
      <c r="G55" s="25">
        <f t="shared" si="46"/>
        <v>16157</v>
      </c>
      <c r="H55" s="26">
        <f t="shared" si="47"/>
        <v>32.31</v>
      </c>
      <c r="I55" s="32">
        <v>0.85</v>
      </c>
      <c r="J55" s="34">
        <f t="shared" si="48"/>
        <v>27.46</v>
      </c>
      <c r="K55" s="24">
        <v>37</v>
      </c>
      <c r="L55" s="17">
        <f t="shared" si="43"/>
        <v>64.46</v>
      </c>
      <c r="M55" s="24">
        <v>15</v>
      </c>
      <c r="N55" s="24">
        <v>15</v>
      </c>
      <c r="O55" s="24">
        <v>5</v>
      </c>
      <c r="P55" s="24"/>
      <c r="Q55" s="17">
        <f t="shared" si="44"/>
        <v>97.62</v>
      </c>
      <c r="R55" s="32">
        <v>0.85</v>
      </c>
      <c r="S55" s="24">
        <f t="shared" si="45"/>
        <v>83</v>
      </c>
    </row>
    <row r="56" s="4" customFormat="1" ht="14.25" spans="1:19">
      <c r="A56" s="22">
        <v>80</v>
      </c>
      <c r="B56" s="22">
        <v>441400</v>
      </c>
      <c r="C56" s="22" t="s">
        <v>99</v>
      </c>
      <c r="D56" s="23" t="s">
        <v>100</v>
      </c>
      <c r="E56" s="21">
        <f>SUM(E57:E63)</f>
        <v>1807860</v>
      </c>
      <c r="F56" s="21">
        <f>SUM(F57:F63)</f>
        <v>132217</v>
      </c>
      <c r="G56" s="21">
        <f>SUM(G57:G63)</f>
        <v>161897</v>
      </c>
      <c r="H56" s="21">
        <f>SUM(H57:H63)</f>
        <v>323.8</v>
      </c>
      <c r="I56" s="21"/>
      <c r="J56" s="21">
        <f t="shared" ref="J56:Q56" si="49">SUM(J57:J63)</f>
        <v>323.8</v>
      </c>
      <c r="K56" s="21">
        <f t="shared" si="49"/>
        <v>238</v>
      </c>
      <c r="L56" s="21">
        <f t="shared" si="49"/>
        <v>561.8</v>
      </c>
      <c r="M56" s="21">
        <f t="shared" si="49"/>
        <v>105</v>
      </c>
      <c r="N56" s="21">
        <f t="shared" si="49"/>
        <v>90</v>
      </c>
      <c r="O56" s="21">
        <f t="shared" si="49"/>
        <v>30</v>
      </c>
      <c r="P56" s="21">
        <f t="shared" si="49"/>
        <v>0</v>
      </c>
      <c r="Q56" s="21">
        <f t="shared" si="49"/>
        <v>892.45</v>
      </c>
      <c r="R56" s="21"/>
      <c r="S56" s="21">
        <f>SUM(S57:S63)</f>
        <v>889</v>
      </c>
    </row>
    <row r="57" s="4" customFormat="1" spans="1:19">
      <c r="A57" s="22"/>
      <c r="B57" s="22"/>
      <c r="C57" s="22"/>
      <c r="D57" s="10" t="s">
        <v>58</v>
      </c>
      <c r="E57" s="21"/>
      <c r="F57" s="24"/>
      <c r="G57" s="21"/>
      <c r="H57" s="22"/>
      <c r="I57" s="32">
        <v>0.85</v>
      </c>
      <c r="J57" s="32"/>
      <c r="K57" s="24">
        <v>16</v>
      </c>
      <c r="L57" s="17">
        <f t="shared" ref="L57:L63" si="50">ROUND(J57+K57,2)</f>
        <v>16</v>
      </c>
      <c r="M57" s="24">
        <v>15</v>
      </c>
      <c r="N57" s="21"/>
      <c r="O57" s="21"/>
      <c r="P57" s="21"/>
      <c r="Q57" s="17">
        <f t="shared" ref="Q57:Q63" si="51">SUM(H57:K57)</f>
        <v>16.85</v>
      </c>
      <c r="R57" s="32">
        <v>0.85</v>
      </c>
      <c r="S57" s="24">
        <f t="shared" ref="S57:S63" si="52">ROUND(Q57*R57,0)</f>
        <v>14</v>
      </c>
    </row>
    <row r="58" s="1" customFormat="1" spans="1:19">
      <c r="A58" s="10">
        <v>37</v>
      </c>
      <c r="B58" s="10">
        <v>441422</v>
      </c>
      <c r="C58" s="10" t="s">
        <v>99</v>
      </c>
      <c r="D58" s="10" t="s">
        <v>101</v>
      </c>
      <c r="E58" s="24">
        <f>VLOOKUP(D58,[1]摸底数!B:D,3,0)</f>
        <v>196859</v>
      </c>
      <c r="F58" s="24">
        <f>VLOOKUP(D58,[1]摸底数!B:G,6,0)</f>
        <v>83282</v>
      </c>
      <c r="G58" s="25">
        <f t="shared" ref="G58:G63" si="53">ROUND((E58-F58/0.7)*0.1,0)</f>
        <v>7788</v>
      </c>
      <c r="H58" s="26">
        <f t="shared" ref="H58:H63" si="54">ROUND(G58*20/10000,2)</f>
        <v>15.58</v>
      </c>
      <c r="I58" s="32">
        <v>1</v>
      </c>
      <c r="J58" s="34">
        <f t="shared" ref="J58:J63" si="55">ROUND(H58*I58,2)</f>
        <v>15.58</v>
      </c>
      <c r="K58" s="24">
        <v>37</v>
      </c>
      <c r="L58" s="17">
        <f t="shared" si="50"/>
        <v>52.58</v>
      </c>
      <c r="M58" s="24">
        <v>15</v>
      </c>
      <c r="N58" s="24">
        <v>15</v>
      </c>
      <c r="O58" s="24">
        <v>5</v>
      </c>
      <c r="P58" s="24"/>
      <c r="Q58" s="17">
        <f t="shared" si="51"/>
        <v>69.16</v>
      </c>
      <c r="R58" s="32">
        <v>1</v>
      </c>
      <c r="S58" s="24">
        <f t="shared" si="52"/>
        <v>69</v>
      </c>
    </row>
    <row r="59" s="1" customFormat="1" spans="1:19">
      <c r="A59" s="10">
        <v>38</v>
      </c>
      <c r="B59" s="10">
        <v>441423</v>
      </c>
      <c r="C59" s="10" t="s">
        <v>99</v>
      </c>
      <c r="D59" s="10" t="s">
        <v>102</v>
      </c>
      <c r="E59" s="24">
        <f>VLOOKUP(D59,[1]摸底数!B:D,3,0)</f>
        <v>295089</v>
      </c>
      <c r="F59" s="24">
        <f>VLOOKUP(D59,[1]摸底数!B:G,6,0)</f>
        <v>9868</v>
      </c>
      <c r="G59" s="25">
        <f t="shared" si="53"/>
        <v>28099</v>
      </c>
      <c r="H59" s="26">
        <f t="shared" si="54"/>
        <v>56.2</v>
      </c>
      <c r="I59" s="32">
        <v>1</v>
      </c>
      <c r="J59" s="34">
        <f t="shared" si="55"/>
        <v>56.2</v>
      </c>
      <c r="K59" s="24">
        <v>37</v>
      </c>
      <c r="L59" s="17">
        <f t="shared" si="50"/>
        <v>93.2</v>
      </c>
      <c r="M59" s="24">
        <v>15</v>
      </c>
      <c r="N59" s="24">
        <v>15</v>
      </c>
      <c r="O59" s="24">
        <v>5</v>
      </c>
      <c r="P59" s="24"/>
      <c r="Q59" s="17">
        <f t="shared" si="51"/>
        <v>150.4</v>
      </c>
      <c r="R59" s="32">
        <v>1</v>
      </c>
      <c r="S59" s="24">
        <f t="shared" si="52"/>
        <v>150</v>
      </c>
    </row>
    <row r="60" s="1" customFormat="1" spans="1:19">
      <c r="A60" s="10">
        <v>39</v>
      </c>
      <c r="B60" s="10">
        <v>441424</v>
      </c>
      <c r="C60" s="10" t="s">
        <v>99</v>
      </c>
      <c r="D60" s="10" t="s">
        <v>103</v>
      </c>
      <c r="E60" s="24">
        <f>VLOOKUP(D60,[1]摸底数!B:D,3,0)</f>
        <v>621220</v>
      </c>
      <c r="F60" s="24">
        <f>VLOOKUP(D60,[1]摸底数!B:G,6,0)</f>
        <v>4403</v>
      </c>
      <c r="G60" s="25">
        <f t="shared" si="53"/>
        <v>61493</v>
      </c>
      <c r="H60" s="26">
        <f t="shared" si="54"/>
        <v>122.99</v>
      </c>
      <c r="I60" s="32">
        <v>1</v>
      </c>
      <c r="J60" s="34">
        <f t="shared" si="55"/>
        <v>122.99</v>
      </c>
      <c r="K60" s="24">
        <v>37</v>
      </c>
      <c r="L60" s="17">
        <f t="shared" si="50"/>
        <v>159.99</v>
      </c>
      <c r="M60" s="24">
        <v>15</v>
      </c>
      <c r="N60" s="24">
        <v>15</v>
      </c>
      <c r="O60" s="24">
        <v>5</v>
      </c>
      <c r="P60" s="24"/>
      <c r="Q60" s="17">
        <f t="shared" si="51"/>
        <v>283.98</v>
      </c>
      <c r="R60" s="32">
        <v>1</v>
      </c>
      <c r="S60" s="24">
        <f t="shared" si="52"/>
        <v>284</v>
      </c>
    </row>
    <row r="61" s="1" customFormat="1" spans="1:19">
      <c r="A61" s="10">
        <v>40</v>
      </c>
      <c r="B61" s="10">
        <v>441426</v>
      </c>
      <c r="C61" s="10" t="s">
        <v>99</v>
      </c>
      <c r="D61" s="10" t="s">
        <v>104</v>
      </c>
      <c r="E61" s="24">
        <f>VLOOKUP(D61,[1]摸底数!B:D,3,0)</f>
        <v>95316</v>
      </c>
      <c r="F61" s="24">
        <f>VLOOKUP(D61,[1]摸底数!B:G,6,0)</f>
        <v>4651</v>
      </c>
      <c r="G61" s="25">
        <f t="shared" si="53"/>
        <v>8867</v>
      </c>
      <c r="H61" s="26">
        <f t="shared" si="54"/>
        <v>17.73</v>
      </c>
      <c r="I61" s="32">
        <v>1</v>
      </c>
      <c r="J61" s="34">
        <f t="shared" si="55"/>
        <v>17.73</v>
      </c>
      <c r="K61" s="24">
        <v>37</v>
      </c>
      <c r="L61" s="17">
        <f t="shared" si="50"/>
        <v>54.73</v>
      </c>
      <c r="M61" s="24">
        <v>15</v>
      </c>
      <c r="N61" s="24">
        <v>15</v>
      </c>
      <c r="O61" s="24">
        <v>5</v>
      </c>
      <c r="P61" s="24"/>
      <c r="Q61" s="17">
        <f t="shared" si="51"/>
        <v>73.46</v>
      </c>
      <c r="R61" s="32">
        <v>1</v>
      </c>
      <c r="S61" s="24">
        <f t="shared" si="52"/>
        <v>73</v>
      </c>
    </row>
    <row r="62" s="1" customFormat="1" spans="1:19">
      <c r="A62" s="10">
        <v>41</v>
      </c>
      <c r="B62" s="10">
        <v>441427</v>
      </c>
      <c r="C62" s="10" t="s">
        <v>99</v>
      </c>
      <c r="D62" s="10" t="s">
        <v>105</v>
      </c>
      <c r="E62" s="24">
        <f>VLOOKUP(D62,[1]摸底数!B:D,3,0)</f>
        <v>114227</v>
      </c>
      <c r="F62" s="24">
        <f>VLOOKUP(D62,[1]摸底数!B:G,6,0)</f>
        <v>6528</v>
      </c>
      <c r="G62" s="25">
        <f t="shared" si="53"/>
        <v>10490</v>
      </c>
      <c r="H62" s="26">
        <f t="shared" si="54"/>
        <v>20.98</v>
      </c>
      <c r="I62" s="32">
        <v>1</v>
      </c>
      <c r="J62" s="34">
        <f t="shared" si="55"/>
        <v>20.98</v>
      </c>
      <c r="K62" s="24">
        <v>37</v>
      </c>
      <c r="L62" s="17">
        <f t="shared" si="50"/>
        <v>57.98</v>
      </c>
      <c r="M62" s="24">
        <v>15</v>
      </c>
      <c r="N62" s="24">
        <v>15</v>
      </c>
      <c r="O62" s="24">
        <v>5</v>
      </c>
      <c r="P62" s="24"/>
      <c r="Q62" s="17">
        <f t="shared" si="51"/>
        <v>79.96</v>
      </c>
      <c r="R62" s="32">
        <v>1</v>
      </c>
      <c r="S62" s="24">
        <f t="shared" si="52"/>
        <v>80</v>
      </c>
    </row>
    <row r="63" s="1" customFormat="1" spans="1:19">
      <c r="A63" s="10">
        <v>42</v>
      </c>
      <c r="B63" s="10">
        <v>441481</v>
      </c>
      <c r="C63" s="10" t="s">
        <v>99</v>
      </c>
      <c r="D63" s="10" t="s">
        <v>106</v>
      </c>
      <c r="E63" s="24">
        <f>VLOOKUP(D63,[1]摸底数!B:D,3,0)</f>
        <v>485149</v>
      </c>
      <c r="F63" s="24">
        <f>VLOOKUP(D63,[1]摸底数!B:G,6,0)</f>
        <v>23485</v>
      </c>
      <c r="G63" s="25">
        <f t="shared" si="53"/>
        <v>45160</v>
      </c>
      <c r="H63" s="26">
        <f t="shared" si="54"/>
        <v>90.32</v>
      </c>
      <c r="I63" s="32">
        <v>1</v>
      </c>
      <c r="J63" s="34">
        <f t="shared" si="55"/>
        <v>90.32</v>
      </c>
      <c r="K63" s="24">
        <v>37</v>
      </c>
      <c r="L63" s="17">
        <f t="shared" si="50"/>
        <v>127.32</v>
      </c>
      <c r="M63" s="24">
        <v>15</v>
      </c>
      <c r="N63" s="24">
        <v>15</v>
      </c>
      <c r="O63" s="24">
        <v>5</v>
      </c>
      <c r="P63" s="24"/>
      <c r="Q63" s="17">
        <f t="shared" si="51"/>
        <v>218.64</v>
      </c>
      <c r="R63" s="32">
        <v>1</v>
      </c>
      <c r="S63" s="24">
        <f t="shared" si="52"/>
        <v>219</v>
      </c>
    </row>
    <row r="64" s="4" customFormat="1" ht="14.25" spans="1:19">
      <c r="A64" s="22">
        <v>81</v>
      </c>
      <c r="B64" s="22">
        <v>441500</v>
      </c>
      <c r="C64" s="22" t="s">
        <v>107</v>
      </c>
      <c r="D64" s="23" t="s">
        <v>108</v>
      </c>
      <c r="E64" s="21">
        <f>SUM(E65:E68)</f>
        <v>1301477</v>
      </c>
      <c r="F64" s="21">
        <f>SUM(F65:F68)</f>
        <v>14324</v>
      </c>
      <c r="G64" s="21">
        <f>SUM(G65:G68)</f>
        <v>128102</v>
      </c>
      <c r="H64" s="21">
        <f>SUM(H65:H68)</f>
        <v>256.2</v>
      </c>
      <c r="I64" s="21"/>
      <c r="J64" s="21">
        <f t="shared" ref="J64:Q64" si="56">SUM(J65:J68)</f>
        <v>256.2</v>
      </c>
      <c r="K64" s="21">
        <f t="shared" si="56"/>
        <v>127</v>
      </c>
      <c r="L64" s="21">
        <f t="shared" si="56"/>
        <v>383.2</v>
      </c>
      <c r="M64" s="21">
        <f t="shared" si="56"/>
        <v>60</v>
      </c>
      <c r="N64" s="21">
        <f t="shared" si="56"/>
        <v>45</v>
      </c>
      <c r="O64" s="21">
        <f t="shared" si="56"/>
        <v>15</v>
      </c>
      <c r="P64" s="21">
        <f t="shared" si="56"/>
        <v>0</v>
      </c>
      <c r="Q64" s="21">
        <f t="shared" si="56"/>
        <v>643.25</v>
      </c>
      <c r="R64" s="21"/>
      <c r="S64" s="21">
        <f>SUM(S65:S68)</f>
        <v>641</v>
      </c>
    </row>
    <row r="65" s="4" customFormat="1" spans="1:19">
      <c r="A65" s="22"/>
      <c r="B65" s="22"/>
      <c r="C65" s="22"/>
      <c r="D65" s="10" t="s">
        <v>58</v>
      </c>
      <c r="E65" s="21"/>
      <c r="F65" s="24"/>
      <c r="G65" s="21"/>
      <c r="H65" s="22"/>
      <c r="I65" s="32">
        <v>0.85</v>
      </c>
      <c r="J65" s="32"/>
      <c r="K65" s="24">
        <v>16</v>
      </c>
      <c r="L65" s="17">
        <f t="shared" ref="L65:L68" si="57">ROUND(J65+K65,2)</f>
        <v>16</v>
      </c>
      <c r="M65" s="24">
        <v>15</v>
      </c>
      <c r="N65" s="21"/>
      <c r="O65" s="21"/>
      <c r="P65" s="21"/>
      <c r="Q65" s="17">
        <f t="shared" ref="Q65:Q68" si="58">SUM(H65:K65)</f>
        <v>16.85</v>
      </c>
      <c r="R65" s="32">
        <v>0.85</v>
      </c>
      <c r="S65" s="24">
        <f t="shared" ref="S65:S68" si="59">ROUND(Q65*R65,0)</f>
        <v>14</v>
      </c>
    </row>
    <row r="66" s="1" customFormat="1" spans="1:19">
      <c r="A66" s="10">
        <v>44</v>
      </c>
      <c r="B66" s="10">
        <v>441521</v>
      </c>
      <c r="C66" s="10" t="s">
        <v>107</v>
      </c>
      <c r="D66" s="10" t="s">
        <v>109</v>
      </c>
      <c r="E66" s="24">
        <f>VLOOKUP(D66,[1]摸底数!B:D,3,0)</f>
        <v>478182</v>
      </c>
      <c r="F66" s="24">
        <f>VLOOKUP(D66,[1]摸底数!B:G,6,0)</f>
        <v>8214</v>
      </c>
      <c r="G66" s="25">
        <f t="shared" ref="G66:G68" si="60">ROUND((E66-F66/0.7)*0.1,0)</f>
        <v>46645</v>
      </c>
      <c r="H66" s="26">
        <f t="shared" ref="H66:H68" si="61">ROUND(G66*20/10000,2)</f>
        <v>93.29</v>
      </c>
      <c r="I66" s="32">
        <v>1</v>
      </c>
      <c r="J66" s="34">
        <f t="shared" ref="J66:J68" si="62">ROUND(H66*I66,2)</f>
        <v>93.29</v>
      </c>
      <c r="K66" s="24">
        <v>37</v>
      </c>
      <c r="L66" s="17">
        <f t="shared" si="57"/>
        <v>130.29</v>
      </c>
      <c r="M66" s="24">
        <v>15</v>
      </c>
      <c r="N66" s="24">
        <v>15</v>
      </c>
      <c r="O66" s="24">
        <v>5</v>
      </c>
      <c r="P66" s="24"/>
      <c r="Q66" s="17">
        <f t="shared" si="58"/>
        <v>224.58</v>
      </c>
      <c r="R66" s="32">
        <v>1</v>
      </c>
      <c r="S66" s="24">
        <f t="shared" si="59"/>
        <v>225</v>
      </c>
    </row>
    <row r="67" s="1" customFormat="1" spans="1:19">
      <c r="A67" s="10">
        <v>45</v>
      </c>
      <c r="B67" s="10">
        <v>441523</v>
      </c>
      <c r="C67" s="10" t="s">
        <v>107</v>
      </c>
      <c r="D67" s="10" t="s">
        <v>110</v>
      </c>
      <c r="E67" s="24">
        <f>VLOOKUP(D67,[1]摸底数!B:D,3,0)</f>
        <v>100597</v>
      </c>
      <c r="F67" s="24">
        <f>VLOOKUP(D67,[1]摸底数!B:G,6,0)</f>
        <v>368</v>
      </c>
      <c r="G67" s="25">
        <f t="shared" si="60"/>
        <v>10007</v>
      </c>
      <c r="H67" s="26">
        <f t="shared" si="61"/>
        <v>20.01</v>
      </c>
      <c r="I67" s="32">
        <v>1</v>
      </c>
      <c r="J67" s="34">
        <f t="shared" si="62"/>
        <v>20.01</v>
      </c>
      <c r="K67" s="24">
        <v>37</v>
      </c>
      <c r="L67" s="17">
        <f t="shared" si="57"/>
        <v>57.01</v>
      </c>
      <c r="M67" s="24">
        <v>15</v>
      </c>
      <c r="N67" s="24">
        <v>15</v>
      </c>
      <c r="O67" s="24">
        <v>5</v>
      </c>
      <c r="P67" s="24"/>
      <c r="Q67" s="17">
        <f t="shared" si="58"/>
        <v>78.02</v>
      </c>
      <c r="R67" s="32">
        <v>1</v>
      </c>
      <c r="S67" s="24">
        <f t="shared" si="59"/>
        <v>78</v>
      </c>
    </row>
    <row r="68" s="1" customFormat="1" spans="1:19">
      <c r="A68" s="10">
        <v>46</v>
      </c>
      <c r="B68" s="10">
        <v>441581</v>
      </c>
      <c r="C68" s="10" t="s">
        <v>107</v>
      </c>
      <c r="D68" s="10" t="s">
        <v>111</v>
      </c>
      <c r="E68" s="24">
        <f>VLOOKUP(D68,[1]摸底数!B:D,3,0)</f>
        <v>722698</v>
      </c>
      <c r="F68" s="24">
        <f>VLOOKUP(D68,[1]摸底数!B:G,6,0)</f>
        <v>5742</v>
      </c>
      <c r="G68" s="25">
        <f t="shared" si="60"/>
        <v>71450</v>
      </c>
      <c r="H68" s="26">
        <f t="shared" si="61"/>
        <v>142.9</v>
      </c>
      <c r="I68" s="32">
        <v>1</v>
      </c>
      <c r="J68" s="34">
        <f t="shared" si="62"/>
        <v>142.9</v>
      </c>
      <c r="K68" s="24">
        <v>37</v>
      </c>
      <c r="L68" s="17">
        <f t="shared" si="57"/>
        <v>179.9</v>
      </c>
      <c r="M68" s="24">
        <v>15</v>
      </c>
      <c r="N68" s="24">
        <v>15</v>
      </c>
      <c r="O68" s="24">
        <v>5</v>
      </c>
      <c r="P68" s="24"/>
      <c r="Q68" s="17">
        <f t="shared" si="58"/>
        <v>323.8</v>
      </c>
      <c r="R68" s="32">
        <v>1</v>
      </c>
      <c r="S68" s="24">
        <f t="shared" si="59"/>
        <v>324</v>
      </c>
    </row>
    <row r="69" s="4" customFormat="1" ht="14.25" spans="1:19">
      <c r="A69" s="22">
        <v>82</v>
      </c>
      <c r="B69" s="22">
        <v>441600</v>
      </c>
      <c r="C69" s="22" t="s">
        <v>112</v>
      </c>
      <c r="D69" s="23" t="s">
        <v>113</v>
      </c>
      <c r="E69" s="21">
        <f>SUM(E70:E75)</f>
        <v>1266965</v>
      </c>
      <c r="F69" s="21">
        <f>SUM(F70:F75)</f>
        <v>54887</v>
      </c>
      <c r="G69" s="21">
        <f>SUM(G70:G75)</f>
        <v>118855</v>
      </c>
      <c r="H69" s="21">
        <f>SUM(H70:H75)</f>
        <v>237.71</v>
      </c>
      <c r="I69" s="21"/>
      <c r="J69" s="21">
        <f t="shared" ref="J69:Q69" si="63">SUM(J70:J75)</f>
        <v>231.55</v>
      </c>
      <c r="K69" s="21">
        <f t="shared" si="63"/>
        <v>201</v>
      </c>
      <c r="L69" s="21">
        <f t="shared" si="63"/>
        <v>432.55</v>
      </c>
      <c r="M69" s="21">
        <f t="shared" si="63"/>
        <v>90</v>
      </c>
      <c r="N69" s="21">
        <f t="shared" si="63"/>
        <v>75</v>
      </c>
      <c r="O69" s="21">
        <f t="shared" si="63"/>
        <v>25</v>
      </c>
      <c r="P69" s="21">
        <f t="shared" si="63"/>
        <v>0</v>
      </c>
      <c r="Q69" s="21">
        <f t="shared" si="63"/>
        <v>675.96</v>
      </c>
      <c r="R69" s="21"/>
      <c r="S69" s="21">
        <f>SUM(S70:S75)</f>
        <v>657</v>
      </c>
    </row>
    <row r="70" s="4" customFormat="1" spans="1:19">
      <c r="A70" s="22"/>
      <c r="B70" s="22"/>
      <c r="C70" s="22"/>
      <c r="D70" s="10" t="s">
        <v>58</v>
      </c>
      <c r="E70" s="21"/>
      <c r="F70" s="24"/>
      <c r="G70" s="21"/>
      <c r="H70" s="22"/>
      <c r="I70" s="32">
        <v>0.85</v>
      </c>
      <c r="J70" s="32"/>
      <c r="K70" s="24">
        <v>16</v>
      </c>
      <c r="L70" s="17">
        <f t="shared" ref="L70:L75" si="64">ROUND(J70+K70,2)</f>
        <v>16</v>
      </c>
      <c r="M70" s="24">
        <v>15</v>
      </c>
      <c r="N70" s="21"/>
      <c r="O70" s="21"/>
      <c r="P70" s="21"/>
      <c r="Q70" s="17">
        <f t="shared" ref="Q70:Q75" si="65">SUM(H70:K70)</f>
        <v>16.85</v>
      </c>
      <c r="R70" s="32">
        <v>0.85</v>
      </c>
      <c r="S70" s="24">
        <f t="shared" ref="S70:S75" si="66">ROUND(Q70*R70,0)</f>
        <v>14</v>
      </c>
    </row>
    <row r="71" s="1" customFormat="1" spans="1:19">
      <c r="A71" s="10">
        <v>48</v>
      </c>
      <c r="B71" s="10">
        <v>441621</v>
      </c>
      <c r="C71" s="10" t="s">
        <v>112</v>
      </c>
      <c r="D71" s="10" t="s">
        <v>114</v>
      </c>
      <c r="E71" s="24">
        <f>VLOOKUP(D71,[1]摸底数!B:D,3,0)</f>
        <v>318346</v>
      </c>
      <c r="F71" s="24">
        <f>VLOOKUP(D71,[1]摸底数!B:G,6,0)</f>
        <v>17222</v>
      </c>
      <c r="G71" s="25">
        <f t="shared" ref="G71:G75" si="67">ROUND((E71-F71/0.7)*0.1,0)</f>
        <v>29374</v>
      </c>
      <c r="H71" s="26">
        <f t="shared" ref="H71:H75" si="68">ROUND(G71*20/10000,2)</f>
        <v>58.75</v>
      </c>
      <c r="I71" s="32">
        <v>1</v>
      </c>
      <c r="J71" s="34">
        <f t="shared" ref="J71:J75" si="69">ROUND(H71*I71,2)</f>
        <v>58.75</v>
      </c>
      <c r="K71" s="24">
        <v>37</v>
      </c>
      <c r="L71" s="17">
        <f t="shared" si="64"/>
        <v>95.75</v>
      </c>
      <c r="M71" s="24">
        <v>15</v>
      </c>
      <c r="N71" s="24">
        <v>15</v>
      </c>
      <c r="O71" s="24">
        <v>5</v>
      </c>
      <c r="P71" s="24"/>
      <c r="Q71" s="17">
        <f t="shared" si="65"/>
        <v>155.5</v>
      </c>
      <c r="R71" s="32">
        <v>1</v>
      </c>
      <c r="S71" s="24">
        <f t="shared" si="66"/>
        <v>156</v>
      </c>
    </row>
    <row r="72" s="1" customFormat="1" spans="1:19">
      <c r="A72" s="10">
        <v>49</v>
      </c>
      <c r="B72" s="10">
        <v>441622</v>
      </c>
      <c r="C72" s="10" t="s">
        <v>112</v>
      </c>
      <c r="D72" s="10" t="s">
        <v>115</v>
      </c>
      <c r="E72" s="24">
        <f>VLOOKUP(D72,[1]摸底数!B:D,3,0)</f>
        <v>349329</v>
      </c>
      <c r="F72" s="24">
        <f>VLOOKUP(D72,[1]摸底数!B:G,6,0)</f>
        <v>22814</v>
      </c>
      <c r="G72" s="25">
        <f t="shared" si="67"/>
        <v>31674</v>
      </c>
      <c r="H72" s="26">
        <f t="shared" si="68"/>
        <v>63.35</v>
      </c>
      <c r="I72" s="32">
        <v>1</v>
      </c>
      <c r="J72" s="34">
        <f t="shared" si="69"/>
        <v>63.35</v>
      </c>
      <c r="K72" s="24">
        <v>37</v>
      </c>
      <c r="L72" s="17">
        <f t="shared" si="64"/>
        <v>100.35</v>
      </c>
      <c r="M72" s="24">
        <v>15</v>
      </c>
      <c r="N72" s="24">
        <v>15</v>
      </c>
      <c r="O72" s="24">
        <v>5</v>
      </c>
      <c r="P72" s="24"/>
      <c r="Q72" s="17">
        <f t="shared" si="65"/>
        <v>164.7</v>
      </c>
      <c r="R72" s="32">
        <v>1</v>
      </c>
      <c r="S72" s="24">
        <f t="shared" si="66"/>
        <v>165</v>
      </c>
    </row>
    <row r="73" s="1" customFormat="1" spans="1:19">
      <c r="A73" s="10">
        <v>50</v>
      </c>
      <c r="B73" s="10">
        <v>441623</v>
      </c>
      <c r="C73" s="10" t="s">
        <v>112</v>
      </c>
      <c r="D73" s="10" t="s">
        <v>116</v>
      </c>
      <c r="E73" s="24">
        <f>VLOOKUP(D73,[1]摸底数!B:D,3,0)</f>
        <v>176812</v>
      </c>
      <c r="F73" s="24">
        <f>VLOOKUP(D73,[1]摸底数!B:G,6,0)</f>
        <v>6236</v>
      </c>
      <c r="G73" s="25">
        <f t="shared" si="67"/>
        <v>16790</v>
      </c>
      <c r="H73" s="26">
        <f t="shared" si="68"/>
        <v>33.58</v>
      </c>
      <c r="I73" s="32">
        <v>1</v>
      </c>
      <c r="J73" s="34">
        <f t="shared" si="69"/>
        <v>33.58</v>
      </c>
      <c r="K73" s="24">
        <v>37</v>
      </c>
      <c r="L73" s="17">
        <f t="shared" si="64"/>
        <v>70.58</v>
      </c>
      <c r="M73" s="24">
        <v>15</v>
      </c>
      <c r="N73" s="24">
        <v>15</v>
      </c>
      <c r="O73" s="24">
        <v>5</v>
      </c>
      <c r="P73" s="24"/>
      <c r="Q73" s="17">
        <f t="shared" si="65"/>
        <v>105.16</v>
      </c>
      <c r="R73" s="32">
        <v>1</v>
      </c>
      <c r="S73" s="24">
        <f t="shared" si="66"/>
        <v>105</v>
      </c>
    </row>
    <row r="74" s="1" customFormat="1" spans="1:19">
      <c r="A74" s="10">
        <v>51</v>
      </c>
      <c r="B74" s="10">
        <v>441624</v>
      </c>
      <c r="C74" s="10" t="s">
        <v>112</v>
      </c>
      <c r="D74" s="10" t="s">
        <v>117</v>
      </c>
      <c r="E74" s="24">
        <f>VLOOKUP(D74,[1]摸底数!B:D,3,0)</f>
        <v>207762</v>
      </c>
      <c r="F74" s="24">
        <f>VLOOKUP(D74,[1]摸底数!B:G,6,0)</f>
        <v>2169</v>
      </c>
      <c r="G74" s="25">
        <f t="shared" si="67"/>
        <v>20466</v>
      </c>
      <c r="H74" s="26">
        <f t="shared" si="68"/>
        <v>40.93</v>
      </c>
      <c r="I74" s="32">
        <v>1</v>
      </c>
      <c r="J74" s="34">
        <f t="shared" si="69"/>
        <v>40.93</v>
      </c>
      <c r="K74" s="24">
        <v>37</v>
      </c>
      <c r="L74" s="17">
        <f t="shared" si="64"/>
        <v>77.93</v>
      </c>
      <c r="M74" s="24">
        <v>15</v>
      </c>
      <c r="N74" s="24">
        <v>15</v>
      </c>
      <c r="O74" s="24">
        <v>5</v>
      </c>
      <c r="P74" s="24"/>
      <c r="Q74" s="17">
        <f t="shared" si="65"/>
        <v>119.86</v>
      </c>
      <c r="R74" s="32">
        <v>1</v>
      </c>
      <c r="S74" s="24">
        <f t="shared" si="66"/>
        <v>120</v>
      </c>
    </row>
    <row r="75" s="1" customFormat="1" spans="1:19">
      <c r="A75" s="10">
        <v>52</v>
      </c>
      <c r="B75" s="10">
        <v>441625</v>
      </c>
      <c r="C75" s="10" t="s">
        <v>112</v>
      </c>
      <c r="D75" s="10" t="s">
        <v>118</v>
      </c>
      <c r="E75" s="24">
        <f>VLOOKUP(D75,[1]摸底数!B:D,3,0)</f>
        <v>214716</v>
      </c>
      <c r="F75" s="24">
        <f>VLOOKUP(D75,[1]摸底数!B:G,6,0)</f>
        <v>6446</v>
      </c>
      <c r="G75" s="25">
        <f t="shared" si="67"/>
        <v>20551</v>
      </c>
      <c r="H75" s="26">
        <f t="shared" si="68"/>
        <v>41.1</v>
      </c>
      <c r="I75" s="32">
        <v>0.85</v>
      </c>
      <c r="J75" s="34">
        <f t="shared" si="69"/>
        <v>34.94</v>
      </c>
      <c r="K75" s="24">
        <v>37</v>
      </c>
      <c r="L75" s="17">
        <f t="shared" si="64"/>
        <v>71.94</v>
      </c>
      <c r="M75" s="24">
        <v>15</v>
      </c>
      <c r="N75" s="24">
        <v>15</v>
      </c>
      <c r="O75" s="24">
        <v>5</v>
      </c>
      <c r="P75" s="24"/>
      <c r="Q75" s="17">
        <f t="shared" si="65"/>
        <v>113.89</v>
      </c>
      <c r="R75" s="32">
        <v>0.85</v>
      </c>
      <c r="S75" s="24">
        <f t="shared" si="66"/>
        <v>97</v>
      </c>
    </row>
    <row r="76" s="4" customFormat="1" ht="14.25" spans="1:19">
      <c r="A76" s="22">
        <v>83</v>
      </c>
      <c r="B76" s="22">
        <v>441700</v>
      </c>
      <c r="C76" s="22" t="s">
        <v>119</v>
      </c>
      <c r="D76" s="23" t="s">
        <v>120</v>
      </c>
      <c r="E76" s="21">
        <f>SUM(E77:E79)</f>
        <v>859387</v>
      </c>
      <c r="F76" s="21">
        <f>SUM(F77:F79)</f>
        <v>44882</v>
      </c>
      <c r="G76" s="21">
        <f>SUM(G77:G79)</f>
        <v>79527</v>
      </c>
      <c r="H76" s="21">
        <f>SUM(H77:H79)</f>
        <v>159.05</v>
      </c>
      <c r="I76" s="21"/>
      <c r="J76" s="21">
        <f t="shared" ref="J76:Q76" si="70">SUM(J77:J79)</f>
        <v>135.19</v>
      </c>
      <c r="K76" s="21">
        <f t="shared" si="70"/>
        <v>90</v>
      </c>
      <c r="L76" s="21">
        <f t="shared" si="70"/>
        <v>225.19</v>
      </c>
      <c r="M76" s="21">
        <f t="shared" si="70"/>
        <v>45</v>
      </c>
      <c r="N76" s="21">
        <f t="shared" si="70"/>
        <v>30</v>
      </c>
      <c r="O76" s="21">
        <f t="shared" si="70"/>
        <v>10</v>
      </c>
      <c r="P76" s="21">
        <f t="shared" si="70"/>
        <v>0</v>
      </c>
      <c r="Q76" s="21">
        <f t="shared" si="70"/>
        <v>386.79</v>
      </c>
      <c r="R76" s="21"/>
      <c r="S76" s="21">
        <f>SUM(S77:S79)</f>
        <v>328</v>
      </c>
    </row>
    <row r="77" s="4" customFormat="1" spans="1:19">
      <c r="A77" s="22"/>
      <c r="B77" s="22"/>
      <c r="C77" s="22"/>
      <c r="D77" s="10" t="s">
        <v>58</v>
      </c>
      <c r="E77" s="21"/>
      <c r="F77" s="24"/>
      <c r="G77" s="21"/>
      <c r="H77" s="22"/>
      <c r="I77" s="32">
        <v>0.85</v>
      </c>
      <c r="J77" s="32"/>
      <c r="K77" s="24">
        <v>16</v>
      </c>
      <c r="L77" s="17">
        <f t="shared" ref="L77:L79" si="71">ROUND(J77+K77,2)</f>
        <v>16</v>
      </c>
      <c r="M77" s="24">
        <v>15</v>
      </c>
      <c r="N77" s="21"/>
      <c r="O77" s="21"/>
      <c r="P77" s="21"/>
      <c r="Q77" s="17">
        <f t="shared" ref="Q77:Q79" si="72">SUM(H77:K77)</f>
        <v>16.85</v>
      </c>
      <c r="R77" s="32">
        <v>0.85</v>
      </c>
      <c r="S77" s="24">
        <f t="shared" ref="S77:S79" si="73">ROUND(Q77*R77,0)</f>
        <v>14</v>
      </c>
    </row>
    <row r="78" s="1" customFormat="1" spans="1:19">
      <c r="A78" s="10">
        <v>54</v>
      </c>
      <c r="B78" s="10">
        <v>441721</v>
      </c>
      <c r="C78" s="10" t="s">
        <v>119</v>
      </c>
      <c r="D78" s="10" t="s">
        <v>121</v>
      </c>
      <c r="E78" s="24">
        <f>VLOOKUP(D78,[1]摸底数!B:D,3,0)</f>
        <v>298294</v>
      </c>
      <c r="F78" s="24">
        <f>VLOOKUP(D78,[1]摸底数!B:G,6,0)</f>
        <v>10447</v>
      </c>
      <c r="G78" s="25">
        <f t="shared" ref="G78:G87" si="74">ROUND((E78-F78/0.7)*0.1,0)</f>
        <v>28337</v>
      </c>
      <c r="H78" s="26">
        <f t="shared" ref="H78:H87" si="75">ROUND(G78*20/10000,2)</f>
        <v>56.67</v>
      </c>
      <c r="I78" s="32">
        <v>0.85</v>
      </c>
      <c r="J78" s="34">
        <f t="shared" ref="J78:J87" si="76">ROUND(H78*I78,2)</f>
        <v>48.17</v>
      </c>
      <c r="K78" s="24">
        <v>37</v>
      </c>
      <c r="L78" s="17">
        <f t="shared" si="71"/>
        <v>85.17</v>
      </c>
      <c r="M78" s="24">
        <v>15</v>
      </c>
      <c r="N78" s="24">
        <v>15</v>
      </c>
      <c r="O78" s="24">
        <v>5</v>
      </c>
      <c r="P78" s="24"/>
      <c r="Q78" s="17">
        <f t="shared" si="72"/>
        <v>142.69</v>
      </c>
      <c r="R78" s="32">
        <v>0.85</v>
      </c>
      <c r="S78" s="24">
        <f t="shared" si="73"/>
        <v>121</v>
      </c>
    </row>
    <row r="79" s="1" customFormat="1" spans="1:19">
      <c r="A79" s="10">
        <v>55</v>
      </c>
      <c r="B79" s="10">
        <v>441781</v>
      </c>
      <c r="C79" s="10" t="s">
        <v>119</v>
      </c>
      <c r="D79" s="10" t="s">
        <v>122</v>
      </c>
      <c r="E79" s="24">
        <f>VLOOKUP(D79,[1]摸底数!B:D,3,0)</f>
        <v>561093</v>
      </c>
      <c r="F79" s="24">
        <f>VLOOKUP(D79,[1]摸底数!B:G,6,0)</f>
        <v>34435</v>
      </c>
      <c r="G79" s="25">
        <f t="shared" si="74"/>
        <v>51190</v>
      </c>
      <c r="H79" s="26">
        <f t="shared" si="75"/>
        <v>102.38</v>
      </c>
      <c r="I79" s="32">
        <v>0.85</v>
      </c>
      <c r="J79" s="34">
        <f t="shared" si="76"/>
        <v>87.02</v>
      </c>
      <c r="K79" s="24">
        <v>37</v>
      </c>
      <c r="L79" s="17">
        <f t="shared" si="71"/>
        <v>124.02</v>
      </c>
      <c r="M79" s="24">
        <v>15</v>
      </c>
      <c r="N79" s="24">
        <v>15</v>
      </c>
      <c r="O79" s="24">
        <v>5</v>
      </c>
      <c r="P79" s="24"/>
      <c r="Q79" s="17">
        <f t="shared" si="72"/>
        <v>227.25</v>
      </c>
      <c r="R79" s="32">
        <v>0.85</v>
      </c>
      <c r="S79" s="24">
        <f t="shared" si="73"/>
        <v>193</v>
      </c>
    </row>
    <row r="80" s="4" customFormat="1" ht="14.25" spans="1:19">
      <c r="A80" s="22"/>
      <c r="B80" s="22"/>
      <c r="C80" s="22"/>
      <c r="D80" s="23" t="s">
        <v>123</v>
      </c>
      <c r="E80" s="21">
        <f>SUM(E81:E87)</f>
        <v>1262547</v>
      </c>
      <c r="F80" s="21">
        <f>SUM(F81:F87)</f>
        <v>91745</v>
      </c>
      <c r="G80" s="21">
        <f>SUM(G81:G87)</f>
        <v>113150</v>
      </c>
      <c r="H80" s="21">
        <f>SUM(H81:H87)</f>
        <v>226.3</v>
      </c>
      <c r="I80" s="21"/>
      <c r="J80" s="21">
        <f t="shared" ref="J80:Q80" si="77">SUM(J81:J87)</f>
        <v>195.64</v>
      </c>
      <c r="K80" s="21">
        <f t="shared" si="77"/>
        <v>238</v>
      </c>
      <c r="L80" s="21">
        <f t="shared" si="77"/>
        <v>433.64</v>
      </c>
      <c r="M80" s="21">
        <f t="shared" si="77"/>
        <v>105</v>
      </c>
      <c r="N80" s="21">
        <f t="shared" si="77"/>
        <v>90</v>
      </c>
      <c r="O80" s="21">
        <f t="shared" si="77"/>
        <v>30</v>
      </c>
      <c r="P80" s="21">
        <f t="shared" si="77"/>
        <v>0</v>
      </c>
      <c r="Q80" s="21">
        <f t="shared" si="77"/>
        <v>666.19</v>
      </c>
      <c r="R80" s="21"/>
      <c r="S80" s="21">
        <f>SUM(S81:S87)</f>
        <v>583</v>
      </c>
    </row>
    <row r="81" s="4" customFormat="1" spans="1:19">
      <c r="A81" s="22"/>
      <c r="B81" s="22"/>
      <c r="C81" s="22"/>
      <c r="D81" s="10" t="s">
        <v>58</v>
      </c>
      <c r="E81" s="21"/>
      <c r="F81" s="24"/>
      <c r="G81" s="21"/>
      <c r="H81" s="22"/>
      <c r="I81" s="32">
        <v>0.85</v>
      </c>
      <c r="J81" s="32"/>
      <c r="K81" s="24">
        <v>16</v>
      </c>
      <c r="L81" s="17">
        <f t="shared" ref="L81:L87" si="78">ROUND(J81+K81,2)</f>
        <v>16</v>
      </c>
      <c r="M81" s="24">
        <v>15</v>
      </c>
      <c r="N81" s="21"/>
      <c r="O81" s="21"/>
      <c r="P81" s="21"/>
      <c r="Q81" s="17">
        <f t="shared" ref="Q81:Q87" si="79">SUM(H81:K81)</f>
        <v>16.85</v>
      </c>
      <c r="R81" s="32">
        <v>0.85</v>
      </c>
      <c r="S81" s="24">
        <f t="shared" ref="S81:S87" si="80">ROUND(Q81*R81,0)</f>
        <v>14</v>
      </c>
    </row>
    <row r="82" s="1" customFormat="1" spans="1:19">
      <c r="A82" s="10">
        <v>57</v>
      </c>
      <c r="B82" s="10">
        <v>441821</v>
      </c>
      <c r="C82" s="10" t="s">
        <v>124</v>
      </c>
      <c r="D82" s="10" t="s">
        <v>125</v>
      </c>
      <c r="E82" s="24">
        <f>VLOOKUP(D82,[1]摸底数!B:D,3,0)</f>
        <v>205323</v>
      </c>
      <c r="F82" s="24">
        <f>VLOOKUP(D82,[1]摸底数!B:G,6,0)</f>
        <v>9832</v>
      </c>
      <c r="G82" s="25">
        <f t="shared" si="74"/>
        <v>19128</v>
      </c>
      <c r="H82" s="26">
        <f t="shared" si="75"/>
        <v>38.26</v>
      </c>
      <c r="I82" s="32">
        <v>0.85</v>
      </c>
      <c r="J82" s="34">
        <f t="shared" si="76"/>
        <v>32.52</v>
      </c>
      <c r="K82" s="24">
        <v>37</v>
      </c>
      <c r="L82" s="17">
        <f t="shared" si="78"/>
        <v>69.52</v>
      </c>
      <c r="M82" s="24">
        <v>15</v>
      </c>
      <c r="N82" s="24">
        <v>15</v>
      </c>
      <c r="O82" s="24">
        <v>5</v>
      </c>
      <c r="P82" s="24"/>
      <c r="Q82" s="17">
        <f t="shared" si="79"/>
        <v>108.63</v>
      </c>
      <c r="R82" s="32">
        <v>0.85</v>
      </c>
      <c r="S82" s="24">
        <f t="shared" si="80"/>
        <v>92</v>
      </c>
    </row>
    <row r="83" s="1" customFormat="1" spans="1:19">
      <c r="A83" s="10">
        <v>58</v>
      </c>
      <c r="B83" s="10">
        <v>441823</v>
      </c>
      <c r="C83" s="10" t="s">
        <v>124</v>
      </c>
      <c r="D83" s="10" t="s">
        <v>126</v>
      </c>
      <c r="E83" s="24">
        <f>VLOOKUP(D83,[1]摸底数!B:D,3,0)</f>
        <v>226254</v>
      </c>
      <c r="F83" s="24">
        <f>VLOOKUP(D83,[1]摸底数!B:G,6,0)</f>
        <v>12905</v>
      </c>
      <c r="G83" s="25">
        <f t="shared" si="74"/>
        <v>20782</v>
      </c>
      <c r="H83" s="26">
        <f t="shared" si="75"/>
        <v>41.56</v>
      </c>
      <c r="I83" s="32">
        <v>0.85</v>
      </c>
      <c r="J83" s="34">
        <f t="shared" si="76"/>
        <v>35.33</v>
      </c>
      <c r="K83" s="24">
        <v>37</v>
      </c>
      <c r="L83" s="17">
        <f t="shared" si="78"/>
        <v>72.33</v>
      </c>
      <c r="M83" s="24">
        <v>15</v>
      </c>
      <c r="N83" s="24">
        <v>15</v>
      </c>
      <c r="O83" s="24">
        <v>5</v>
      </c>
      <c r="P83" s="24"/>
      <c r="Q83" s="17">
        <f t="shared" si="79"/>
        <v>114.74</v>
      </c>
      <c r="R83" s="32">
        <v>0.85</v>
      </c>
      <c r="S83" s="24">
        <f t="shared" si="80"/>
        <v>98</v>
      </c>
    </row>
    <row r="84" s="1" customFormat="1" spans="1:19">
      <c r="A84" s="10">
        <v>59</v>
      </c>
      <c r="B84" s="10">
        <v>441825</v>
      </c>
      <c r="C84" s="10" t="s">
        <v>124</v>
      </c>
      <c r="D84" s="10" t="s">
        <v>127</v>
      </c>
      <c r="E84" s="24">
        <f>VLOOKUP(D84,[1]摸底数!B:D,3,0)</f>
        <v>52535</v>
      </c>
      <c r="F84" s="24">
        <f>VLOOKUP(D84,[1]摸底数!B:G,6,0)</f>
        <v>931</v>
      </c>
      <c r="G84" s="25">
        <f t="shared" si="74"/>
        <v>5121</v>
      </c>
      <c r="H84" s="26">
        <f t="shared" si="75"/>
        <v>10.24</v>
      </c>
      <c r="I84" s="32">
        <v>1</v>
      </c>
      <c r="J84" s="34">
        <f t="shared" si="76"/>
        <v>10.24</v>
      </c>
      <c r="K84" s="24">
        <v>37</v>
      </c>
      <c r="L84" s="17">
        <f t="shared" si="78"/>
        <v>47.24</v>
      </c>
      <c r="M84" s="24">
        <v>15</v>
      </c>
      <c r="N84" s="24">
        <v>15</v>
      </c>
      <c r="O84" s="24">
        <v>5</v>
      </c>
      <c r="P84" s="24"/>
      <c r="Q84" s="17">
        <f t="shared" si="79"/>
        <v>58.48</v>
      </c>
      <c r="R84" s="32">
        <v>1</v>
      </c>
      <c r="S84" s="24">
        <f t="shared" si="80"/>
        <v>58</v>
      </c>
    </row>
    <row r="85" s="1" customFormat="1" spans="1:19">
      <c r="A85" s="10">
        <v>60</v>
      </c>
      <c r="B85" s="10">
        <v>441826</v>
      </c>
      <c r="C85" s="10" t="s">
        <v>124</v>
      </c>
      <c r="D85" s="10" t="s">
        <v>128</v>
      </c>
      <c r="E85" s="24">
        <f>VLOOKUP(D85,[1]摸底数!B:D,3,0)</f>
        <v>66948</v>
      </c>
      <c r="F85" s="24">
        <f>VLOOKUP(D85,[1]摸底数!B:G,6,0)</f>
        <v>6274</v>
      </c>
      <c r="G85" s="25">
        <f t="shared" si="74"/>
        <v>5799</v>
      </c>
      <c r="H85" s="26">
        <f t="shared" si="75"/>
        <v>11.6</v>
      </c>
      <c r="I85" s="32">
        <v>1</v>
      </c>
      <c r="J85" s="34">
        <f t="shared" si="76"/>
        <v>11.6</v>
      </c>
      <c r="K85" s="24">
        <v>37</v>
      </c>
      <c r="L85" s="17">
        <f t="shared" si="78"/>
        <v>48.6</v>
      </c>
      <c r="M85" s="24">
        <v>15</v>
      </c>
      <c r="N85" s="24">
        <v>15</v>
      </c>
      <c r="O85" s="24">
        <v>5</v>
      </c>
      <c r="P85" s="24"/>
      <c r="Q85" s="17">
        <f t="shared" si="79"/>
        <v>61.2</v>
      </c>
      <c r="R85" s="32">
        <v>1</v>
      </c>
      <c r="S85" s="24">
        <f t="shared" si="80"/>
        <v>61</v>
      </c>
    </row>
    <row r="86" s="1" customFormat="1" spans="1:19">
      <c r="A86" s="10">
        <v>61</v>
      </c>
      <c r="B86" s="10">
        <v>441881</v>
      </c>
      <c r="C86" s="10" t="s">
        <v>124</v>
      </c>
      <c r="D86" s="10" t="s">
        <v>129</v>
      </c>
      <c r="E86" s="24">
        <f>VLOOKUP(D86,[1]摸底数!B:D,3,0)</f>
        <v>481427</v>
      </c>
      <c r="F86" s="24">
        <f>VLOOKUP(D86,[1]摸底数!B:G,6,0)</f>
        <v>33857</v>
      </c>
      <c r="G86" s="25">
        <f t="shared" si="74"/>
        <v>43306</v>
      </c>
      <c r="H86" s="26">
        <f t="shared" si="75"/>
        <v>86.61</v>
      </c>
      <c r="I86" s="32">
        <v>0.85</v>
      </c>
      <c r="J86" s="34">
        <f t="shared" si="76"/>
        <v>73.62</v>
      </c>
      <c r="K86" s="24">
        <v>37</v>
      </c>
      <c r="L86" s="17">
        <f t="shared" si="78"/>
        <v>110.62</v>
      </c>
      <c r="M86" s="24">
        <v>15</v>
      </c>
      <c r="N86" s="24">
        <v>15</v>
      </c>
      <c r="O86" s="24">
        <v>5</v>
      </c>
      <c r="P86" s="24"/>
      <c r="Q86" s="17">
        <f t="shared" si="79"/>
        <v>198.08</v>
      </c>
      <c r="R86" s="32">
        <v>0.85</v>
      </c>
      <c r="S86" s="24">
        <f t="shared" si="80"/>
        <v>168</v>
      </c>
    </row>
    <row r="87" s="1" customFormat="1" spans="1:19">
      <c r="A87" s="10">
        <v>62</v>
      </c>
      <c r="B87" s="10">
        <v>441882</v>
      </c>
      <c r="C87" s="10" t="s">
        <v>124</v>
      </c>
      <c r="D87" s="10" t="s">
        <v>130</v>
      </c>
      <c r="E87" s="24">
        <f>VLOOKUP(D87,[1]摸底数!B:D,3,0)</f>
        <v>230060</v>
      </c>
      <c r="F87" s="24">
        <f>VLOOKUP(D87,[1]摸底数!B:G,6,0)</f>
        <v>27946</v>
      </c>
      <c r="G87" s="25">
        <f t="shared" si="74"/>
        <v>19014</v>
      </c>
      <c r="H87" s="26">
        <f t="shared" si="75"/>
        <v>38.03</v>
      </c>
      <c r="I87" s="32">
        <v>0.85</v>
      </c>
      <c r="J87" s="34">
        <f t="shared" si="76"/>
        <v>32.33</v>
      </c>
      <c r="K87" s="24">
        <v>37</v>
      </c>
      <c r="L87" s="17">
        <f t="shared" si="78"/>
        <v>69.33</v>
      </c>
      <c r="M87" s="24">
        <v>15</v>
      </c>
      <c r="N87" s="24">
        <v>15</v>
      </c>
      <c r="O87" s="24">
        <v>5</v>
      </c>
      <c r="P87" s="24"/>
      <c r="Q87" s="17">
        <f t="shared" si="79"/>
        <v>108.21</v>
      </c>
      <c r="R87" s="32">
        <v>0.85</v>
      </c>
      <c r="S87" s="24">
        <f t="shared" si="80"/>
        <v>92</v>
      </c>
    </row>
    <row r="88" s="4" customFormat="1" ht="14.25" spans="1:19">
      <c r="A88" s="22">
        <v>85</v>
      </c>
      <c r="B88" s="22">
        <v>445100</v>
      </c>
      <c r="C88" s="22" t="s">
        <v>131</v>
      </c>
      <c r="D88" s="23" t="s">
        <v>132</v>
      </c>
      <c r="E88" s="21">
        <f>SUM(E89:E90)</f>
        <v>577334</v>
      </c>
      <c r="F88" s="21">
        <f>SUM(F89:F90)</f>
        <v>4652</v>
      </c>
      <c r="G88" s="21">
        <f>SUM(G89:G90)</f>
        <v>57069</v>
      </c>
      <c r="H88" s="21">
        <f>SUM(H89:H90)</f>
        <v>114.14</v>
      </c>
      <c r="I88" s="21"/>
      <c r="J88" s="21">
        <f t="shared" ref="J88:Q88" si="81">SUM(J89:J90)</f>
        <v>114.14</v>
      </c>
      <c r="K88" s="21">
        <f t="shared" si="81"/>
        <v>53</v>
      </c>
      <c r="L88" s="21">
        <f t="shared" si="81"/>
        <v>167.14</v>
      </c>
      <c r="M88" s="21">
        <f t="shared" si="81"/>
        <v>30</v>
      </c>
      <c r="N88" s="21">
        <f t="shared" si="81"/>
        <v>15</v>
      </c>
      <c r="O88" s="21">
        <f t="shared" si="81"/>
        <v>5</v>
      </c>
      <c r="P88" s="21">
        <f t="shared" si="81"/>
        <v>0</v>
      </c>
      <c r="Q88" s="21">
        <f t="shared" si="81"/>
        <v>283.13</v>
      </c>
      <c r="R88" s="21"/>
      <c r="S88" s="21">
        <f>SUM(S89:S90)</f>
        <v>280</v>
      </c>
    </row>
    <row r="89" s="4" customFormat="1" spans="1:19">
      <c r="A89" s="22"/>
      <c r="B89" s="22"/>
      <c r="C89" s="22"/>
      <c r="D89" s="10" t="s">
        <v>58</v>
      </c>
      <c r="E89" s="21"/>
      <c r="F89" s="24"/>
      <c r="G89" s="21"/>
      <c r="H89" s="22"/>
      <c r="I89" s="32">
        <v>0.85</v>
      </c>
      <c r="J89" s="32"/>
      <c r="K89" s="24">
        <v>16</v>
      </c>
      <c r="L89" s="17">
        <f t="shared" ref="L89:L95" si="82">ROUND(J89+K89,2)</f>
        <v>16</v>
      </c>
      <c r="M89" s="24">
        <v>15</v>
      </c>
      <c r="N89" s="21"/>
      <c r="O89" s="21"/>
      <c r="P89" s="21"/>
      <c r="Q89" s="17">
        <f t="shared" ref="Q89:Q95" si="83">SUM(H89:K89)</f>
        <v>16.85</v>
      </c>
      <c r="R89" s="32">
        <v>0.85</v>
      </c>
      <c r="S89" s="24">
        <f t="shared" ref="S89:S95" si="84">ROUND(Q89*R89,0)</f>
        <v>14</v>
      </c>
    </row>
    <row r="90" s="1" customFormat="1" spans="1:19">
      <c r="A90" s="10">
        <v>64</v>
      </c>
      <c r="B90" s="10">
        <v>445122</v>
      </c>
      <c r="C90" s="10" t="s">
        <v>131</v>
      </c>
      <c r="D90" s="10" t="s">
        <v>133</v>
      </c>
      <c r="E90" s="24">
        <f>VLOOKUP(D90,[1]摸底数!B:D,3,0)</f>
        <v>577334</v>
      </c>
      <c r="F90" s="24">
        <f>VLOOKUP(D90,[1]摸底数!B:G,6,0)</f>
        <v>4652</v>
      </c>
      <c r="G90" s="25">
        <f t="shared" ref="G90:G95" si="85">ROUND((E90-F90/0.7)*0.1,0)</f>
        <v>57069</v>
      </c>
      <c r="H90" s="26">
        <f t="shared" ref="H90:H95" si="86">ROUND(G90*20/10000,2)</f>
        <v>114.14</v>
      </c>
      <c r="I90" s="32">
        <v>1</v>
      </c>
      <c r="J90" s="34">
        <f t="shared" ref="J90:J95" si="87">ROUND(H90*I90,2)</f>
        <v>114.14</v>
      </c>
      <c r="K90" s="24">
        <v>37</v>
      </c>
      <c r="L90" s="17">
        <f t="shared" si="82"/>
        <v>151.14</v>
      </c>
      <c r="M90" s="24">
        <v>15</v>
      </c>
      <c r="N90" s="24">
        <v>15</v>
      </c>
      <c r="O90" s="24">
        <v>5</v>
      </c>
      <c r="P90" s="24"/>
      <c r="Q90" s="17">
        <f t="shared" si="83"/>
        <v>266.28</v>
      </c>
      <c r="R90" s="32">
        <v>1</v>
      </c>
      <c r="S90" s="24">
        <f t="shared" si="84"/>
        <v>266</v>
      </c>
    </row>
    <row r="91" s="4" customFormat="1" ht="14.25" spans="1:19">
      <c r="A91" s="22">
        <v>86</v>
      </c>
      <c r="B91" s="22">
        <v>445200</v>
      </c>
      <c r="C91" s="22" t="s">
        <v>134</v>
      </c>
      <c r="D91" s="23" t="s">
        <v>135</v>
      </c>
      <c r="E91" s="21">
        <f>SUM(E92:E95)</f>
        <v>1945919</v>
      </c>
      <c r="F91" s="21">
        <f>SUM(F92:F95)</f>
        <v>13897</v>
      </c>
      <c r="G91" s="21">
        <f>SUM(G92:G95)</f>
        <v>192607</v>
      </c>
      <c r="H91" s="21">
        <f>SUM(H92:H95)</f>
        <v>385.21</v>
      </c>
      <c r="I91" s="21"/>
      <c r="J91" s="21">
        <f t="shared" ref="J91:Q91" si="88">SUM(J92:J95)</f>
        <v>385.21</v>
      </c>
      <c r="K91" s="21">
        <f t="shared" si="88"/>
        <v>127</v>
      </c>
      <c r="L91" s="21">
        <f t="shared" si="88"/>
        <v>512.21</v>
      </c>
      <c r="M91" s="21">
        <f t="shared" si="88"/>
        <v>60</v>
      </c>
      <c r="N91" s="21">
        <f t="shared" si="88"/>
        <v>45</v>
      </c>
      <c r="O91" s="21">
        <f t="shared" si="88"/>
        <v>15</v>
      </c>
      <c r="P91" s="21">
        <f t="shared" si="88"/>
        <v>0</v>
      </c>
      <c r="Q91" s="21">
        <f t="shared" si="88"/>
        <v>901.27</v>
      </c>
      <c r="R91" s="21"/>
      <c r="S91" s="21">
        <f>SUM(S92:S95)</f>
        <v>898</v>
      </c>
    </row>
    <row r="92" s="4" customFormat="1" spans="1:19">
      <c r="A92" s="22"/>
      <c r="B92" s="22"/>
      <c r="C92" s="22"/>
      <c r="D92" s="10" t="s">
        <v>58</v>
      </c>
      <c r="E92" s="21"/>
      <c r="F92" s="24"/>
      <c r="G92" s="21"/>
      <c r="H92" s="22"/>
      <c r="I92" s="32">
        <v>0.85</v>
      </c>
      <c r="J92" s="32"/>
      <c r="K92" s="24">
        <v>16</v>
      </c>
      <c r="L92" s="17">
        <f t="shared" si="82"/>
        <v>16</v>
      </c>
      <c r="M92" s="24">
        <v>15</v>
      </c>
      <c r="N92" s="21"/>
      <c r="O92" s="21"/>
      <c r="P92" s="21"/>
      <c r="Q92" s="17">
        <f t="shared" si="83"/>
        <v>16.85</v>
      </c>
      <c r="R92" s="32">
        <v>0.85</v>
      </c>
      <c r="S92" s="24">
        <f t="shared" si="84"/>
        <v>14</v>
      </c>
    </row>
    <row r="93" s="1" customFormat="1" spans="1:19">
      <c r="A93" s="10">
        <v>66</v>
      </c>
      <c r="B93" s="10">
        <v>445222</v>
      </c>
      <c r="C93" s="10" t="s">
        <v>134</v>
      </c>
      <c r="D93" s="10" t="s">
        <v>136</v>
      </c>
      <c r="E93" s="24">
        <f>VLOOKUP(D93,[1]摸底数!B:D,3,0)</f>
        <v>366294</v>
      </c>
      <c r="F93" s="24">
        <f>VLOOKUP(D93,[1]摸底数!B:G,6,0)</f>
        <v>1978</v>
      </c>
      <c r="G93" s="25">
        <f t="shared" si="85"/>
        <v>36347</v>
      </c>
      <c r="H93" s="26">
        <f t="shared" si="86"/>
        <v>72.69</v>
      </c>
      <c r="I93" s="32">
        <v>1</v>
      </c>
      <c r="J93" s="34">
        <f t="shared" si="87"/>
        <v>72.69</v>
      </c>
      <c r="K93" s="24">
        <v>37</v>
      </c>
      <c r="L93" s="17">
        <f t="shared" si="82"/>
        <v>109.69</v>
      </c>
      <c r="M93" s="24">
        <v>15</v>
      </c>
      <c r="N93" s="24">
        <v>15</v>
      </c>
      <c r="O93" s="24">
        <v>5</v>
      </c>
      <c r="P93" s="24"/>
      <c r="Q93" s="17">
        <f t="shared" si="83"/>
        <v>183.38</v>
      </c>
      <c r="R93" s="32">
        <v>1</v>
      </c>
      <c r="S93" s="24">
        <f t="shared" si="84"/>
        <v>183</v>
      </c>
    </row>
    <row r="94" s="1" customFormat="1" spans="1:19">
      <c r="A94" s="10">
        <v>67</v>
      </c>
      <c r="B94" s="10">
        <v>445224</v>
      </c>
      <c r="C94" s="10" t="s">
        <v>134</v>
      </c>
      <c r="D94" s="10" t="s">
        <v>137</v>
      </c>
      <c r="E94" s="24">
        <f>VLOOKUP(D94,[1]摸底数!B:D,3,0)</f>
        <v>554985</v>
      </c>
      <c r="F94" s="24">
        <f>VLOOKUP(D94,[1]摸底数!B:G,6,0)</f>
        <v>6284</v>
      </c>
      <c r="G94" s="25">
        <f t="shared" si="85"/>
        <v>54601</v>
      </c>
      <c r="H94" s="26">
        <f t="shared" si="86"/>
        <v>109.2</v>
      </c>
      <c r="I94" s="32">
        <v>1</v>
      </c>
      <c r="J94" s="34">
        <f t="shared" si="87"/>
        <v>109.2</v>
      </c>
      <c r="K94" s="24">
        <v>37</v>
      </c>
      <c r="L94" s="17">
        <f t="shared" si="82"/>
        <v>146.2</v>
      </c>
      <c r="M94" s="24">
        <v>15</v>
      </c>
      <c r="N94" s="24">
        <v>15</v>
      </c>
      <c r="O94" s="24">
        <v>5</v>
      </c>
      <c r="P94" s="24"/>
      <c r="Q94" s="17">
        <f t="shared" si="83"/>
        <v>256.4</v>
      </c>
      <c r="R94" s="32">
        <v>1</v>
      </c>
      <c r="S94" s="24">
        <f t="shared" si="84"/>
        <v>256</v>
      </c>
    </row>
    <row r="95" s="1" customFormat="1" spans="1:19">
      <c r="A95" s="10">
        <v>68</v>
      </c>
      <c r="B95" s="10">
        <v>445281</v>
      </c>
      <c r="C95" s="10" t="s">
        <v>134</v>
      </c>
      <c r="D95" s="10" t="s">
        <v>138</v>
      </c>
      <c r="E95" s="24">
        <f>VLOOKUP(D95,[1]摸底数!B:D,3,0)</f>
        <v>1024640</v>
      </c>
      <c r="F95" s="24">
        <f>VLOOKUP(D95,[1]摸底数!B:G,6,0)</f>
        <v>5635</v>
      </c>
      <c r="G95" s="25">
        <f t="shared" si="85"/>
        <v>101659</v>
      </c>
      <c r="H95" s="26">
        <f t="shared" si="86"/>
        <v>203.32</v>
      </c>
      <c r="I95" s="32">
        <v>1</v>
      </c>
      <c r="J95" s="34">
        <f t="shared" si="87"/>
        <v>203.32</v>
      </c>
      <c r="K95" s="24">
        <v>37</v>
      </c>
      <c r="L95" s="17">
        <f t="shared" si="82"/>
        <v>240.32</v>
      </c>
      <c r="M95" s="24">
        <v>15</v>
      </c>
      <c r="N95" s="24">
        <v>15</v>
      </c>
      <c r="O95" s="24">
        <v>5</v>
      </c>
      <c r="P95" s="24"/>
      <c r="Q95" s="17">
        <f t="shared" si="83"/>
        <v>444.64</v>
      </c>
      <c r="R95" s="32">
        <v>1</v>
      </c>
      <c r="S95" s="24">
        <f t="shared" si="84"/>
        <v>445</v>
      </c>
    </row>
    <row r="96" s="4" customFormat="1" ht="14.25" spans="1:19">
      <c r="A96" s="22">
        <v>87</v>
      </c>
      <c r="B96" s="22">
        <v>445300</v>
      </c>
      <c r="C96" s="22" t="s">
        <v>139</v>
      </c>
      <c r="D96" s="23" t="s">
        <v>140</v>
      </c>
      <c r="E96" s="21">
        <f>SUM(E97:E100)</f>
        <v>942096</v>
      </c>
      <c r="F96" s="21">
        <f>SUM(F97:F100)</f>
        <v>68637</v>
      </c>
      <c r="G96" s="21">
        <f>SUM(G97:G100)</f>
        <v>84404</v>
      </c>
      <c r="H96" s="21">
        <f>SUM(H97:H100)</f>
        <v>168.81</v>
      </c>
      <c r="I96" s="21"/>
      <c r="J96" s="21">
        <f t="shared" ref="J96:Q96" si="89">SUM(J97:J100)</f>
        <v>143.49</v>
      </c>
      <c r="K96" s="21">
        <f t="shared" si="89"/>
        <v>127</v>
      </c>
      <c r="L96" s="21">
        <f t="shared" si="89"/>
        <v>270.49</v>
      </c>
      <c r="M96" s="21">
        <f t="shared" si="89"/>
        <v>60</v>
      </c>
      <c r="N96" s="21">
        <f t="shared" si="89"/>
        <v>45</v>
      </c>
      <c r="O96" s="21">
        <f t="shared" si="89"/>
        <v>15</v>
      </c>
      <c r="P96" s="21">
        <f t="shared" si="89"/>
        <v>0</v>
      </c>
      <c r="Q96" s="21">
        <f t="shared" si="89"/>
        <v>442.7</v>
      </c>
      <c r="R96" s="21"/>
      <c r="S96" s="21">
        <f>SUM(S97:S100)</f>
        <v>375</v>
      </c>
    </row>
    <row r="97" s="4" customFormat="1" spans="1:19">
      <c r="A97" s="22"/>
      <c r="B97" s="22"/>
      <c r="C97" s="22"/>
      <c r="D97" s="10" t="s">
        <v>58</v>
      </c>
      <c r="E97" s="21"/>
      <c r="F97" s="24"/>
      <c r="G97" s="21"/>
      <c r="H97" s="22"/>
      <c r="I97" s="32">
        <v>0.85</v>
      </c>
      <c r="J97" s="32"/>
      <c r="K97" s="24">
        <v>16</v>
      </c>
      <c r="L97" s="17">
        <f t="shared" ref="L97:L100" si="90">ROUND(J97+K97,2)</f>
        <v>16</v>
      </c>
      <c r="M97" s="24">
        <v>15</v>
      </c>
      <c r="N97" s="21"/>
      <c r="O97" s="21"/>
      <c r="P97" s="21"/>
      <c r="Q97" s="17">
        <f t="shared" ref="Q97:Q100" si="91">SUM(H97:K97)</f>
        <v>16.85</v>
      </c>
      <c r="R97" s="32">
        <v>0.85</v>
      </c>
      <c r="S97" s="24">
        <f t="shared" ref="S97:S100" si="92">ROUND(Q97*R97,0)</f>
        <v>14</v>
      </c>
    </row>
    <row r="98" s="1" customFormat="1" spans="1:19">
      <c r="A98" s="10">
        <v>70</v>
      </c>
      <c r="B98" s="10">
        <v>445321</v>
      </c>
      <c r="C98" s="10" t="s">
        <v>139</v>
      </c>
      <c r="D98" s="10" t="s">
        <v>141</v>
      </c>
      <c r="E98" s="24">
        <f>VLOOKUP(D98,[1]摸底数!B:D,3,0)</f>
        <v>271061</v>
      </c>
      <c r="F98" s="24">
        <f>VLOOKUP(D98,[1]摸底数!B:G,6,0)</f>
        <v>15657</v>
      </c>
      <c r="G98" s="25">
        <f t="shared" ref="G98:G100" si="93">ROUND((E98-F98/0.7)*0.1,0)</f>
        <v>24869</v>
      </c>
      <c r="H98" s="26">
        <f t="shared" ref="H98:H100" si="94">ROUND(G98*20/10000,2)</f>
        <v>49.74</v>
      </c>
      <c r="I98" s="32">
        <v>0.85</v>
      </c>
      <c r="J98" s="34">
        <f t="shared" ref="J98:J100" si="95">ROUND(H98*I98,2)</f>
        <v>42.28</v>
      </c>
      <c r="K98" s="24">
        <v>37</v>
      </c>
      <c r="L98" s="17">
        <f t="shared" si="90"/>
        <v>79.28</v>
      </c>
      <c r="M98" s="24">
        <v>15</v>
      </c>
      <c r="N98" s="24">
        <v>15</v>
      </c>
      <c r="O98" s="24">
        <v>5</v>
      </c>
      <c r="P98" s="24"/>
      <c r="Q98" s="17">
        <f t="shared" si="91"/>
        <v>129.87</v>
      </c>
      <c r="R98" s="32">
        <v>0.85</v>
      </c>
      <c r="S98" s="24">
        <f t="shared" si="92"/>
        <v>110</v>
      </c>
    </row>
    <row r="99" s="1" customFormat="1" spans="1:19">
      <c r="A99" s="10">
        <v>71</v>
      </c>
      <c r="B99" s="10">
        <v>445322</v>
      </c>
      <c r="C99" s="10" t="s">
        <v>139</v>
      </c>
      <c r="D99" s="10" t="s">
        <v>142</v>
      </c>
      <c r="E99" s="24">
        <f>VLOOKUP(D99,[1]摸底数!B:D,3,0)</f>
        <v>217762</v>
      </c>
      <c r="F99" s="24">
        <f>VLOOKUP(D99,[1]摸底数!B:G,6,0)</f>
        <v>16410</v>
      </c>
      <c r="G99" s="25">
        <f t="shared" si="93"/>
        <v>19432</v>
      </c>
      <c r="H99" s="26">
        <f t="shared" si="94"/>
        <v>38.86</v>
      </c>
      <c r="I99" s="32">
        <v>0.85</v>
      </c>
      <c r="J99" s="34">
        <f t="shared" si="95"/>
        <v>33.03</v>
      </c>
      <c r="K99" s="24">
        <v>37</v>
      </c>
      <c r="L99" s="17">
        <f t="shared" si="90"/>
        <v>70.03</v>
      </c>
      <c r="M99" s="24">
        <v>15</v>
      </c>
      <c r="N99" s="24">
        <v>15</v>
      </c>
      <c r="O99" s="24">
        <v>5</v>
      </c>
      <c r="P99" s="24"/>
      <c r="Q99" s="17">
        <f t="shared" si="91"/>
        <v>109.74</v>
      </c>
      <c r="R99" s="32">
        <v>0.85</v>
      </c>
      <c r="S99" s="24">
        <f t="shared" si="92"/>
        <v>93</v>
      </c>
    </row>
    <row r="100" s="1" customFormat="1" spans="1:19">
      <c r="A100" s="10">
        <v>72</v>
      </c>
      <c r="B100" s="10">
        <v>445381</v>
      </c>
      <c r="C100" s="10" t="s">
        <v>139</v>
      </c>
      <c r="D100" s="10" t="s">
        <v>143</v>
      </c>
      <c r="E100" s="24">
        <f>VLOOKUP(D100,[1]摸底数!B:D,3,0)</f>
        <v>453273</v>
      </c>
      <c r="F100" s="24">
        <f>VLOOKUP(D100,[1]摸底数!B:G,6,0)</f>
        <v>36570</v>
      </c>
      <c r="G100" s="25">
        <f t="shared" si="93"/>
        <v>40103</v>
      </c>
      <c r="H100" s="26">
        <f t="shared" si="94"/>
        <v>80.21</v>
      </c>
      <c r="I100" s="32">
        <v>0.85</v>
      </c>
      <c r="J100" s="34">
        <f t="shared" si="95"/>
        <v>68.18</v>
      </c>
      <c r="K100" s="24">
        <v>37</v>
      </c>
      <c r="L100" s="17">
        <f t="shared" si="90"/>
        <v>105.18</v>
      </c>
      <c r="M100" s="24">
        <v>15</v>
      </c>
      <c r="N100" s="24">
        <v>15</v>
      </c>
      <c r="O100" s="24">
        <v>5</v>
      </c>
      <c r="P100" s="24"/>
      <c r="Q100" s="17">
        <f t="shared" si="91"/>
        <v>186.24</v>
      </c>
      <c r="R100" s="32">
        <v>0.85</v>
      </c>
      <c r="S100" s="24">
        <f t="shared" si="92"/>
        <v>158</v>
      </c>
    </row>
    <row r="101" s="1" customFormat="1" spans="5:19">
      <c r="E101" s="5"/>
      <c r="F101" s="5"/>
      <c r="G101" s="5"/>
      <c r="M101" s="5"/>
      <c r="N101" s="5"/>
      <c r="O101" s="5"/>
      <c r="P101" s="5"/>
      <c r="Q101" s="5"/>
      <c r="S101" s="5"/>
    </row>
    <row r="102" s="1" customFormat="1" ht="74" customHeight="1" spans="4:19">
      <c r="D102" s="36" t="s">
        <v>576</v>
      </c>
      <c r="E102" s="36"/>
      <c r="F102" s="36"/>
      <c r="G102" s="36"/>
      <c r="H102" s="36"/>
      <c r="I102" s="36"/>
      <c r="J102" s="36"/>
      <c r="K102" s="36"/>
      <c r="L102" s="39"/>
      <c r="M102" s="36"/>
      <c r="N102" s="36"/>
      <c r="O102" s="36"/>
      <c r="P102" s="36"/>
      <c r="Q102" s="36"/>
      <c r="R102" s="36"/>
      <c r="S102" s="36"/>
    </row>
    <row r="103" s="1" customFormat="1" ht="11" customHeight="1" spans="4:19">
      <c r="D103" s="37"/>
      <c r="E103" s="38"/>
      <c r="F103" s="38"/>
      <c r="G103" s="38"/>
      <c r="H103" s="37"/>
      <c r="I103" s="37"/>
      <c r="J103" s="37"/>
      <c r="K103" s="37"/>
      <c r="L103" s="3"/>
      <c r="M103" s="38"/>
      <c r="N103" s="38"/>
      <c r="O103" s="38"/>
      <c r="P103" s="38"/>
      <c r="Q103" s="38"/>
      <c r="R103" s="37"/>
      <c r="S103" s="38"/>
    </row>
    <row r="104" s="1" customFormat="1" ht="11" customHeight="1" spans="4:19">
      <c r="D104" s="37"/>
      <c r="E104" s="38"/>
      <c r="F104" s="38"/>
      <c r="G104" s="38"/>
      <c r="H104" s="37"/>
      <c r="I104" s="37"/>
      <c r="J104" s="37"/>
      <c r="K104" s="37"/>
      <c r="L104" s="3"/>
      <c r="M104" s="38"/>
      <c r="N104" s="38"/>
      <c r="O104" s="38"/>
      <c r="P104" s="38"/>
      <c r="Q104" s="38"/>
      <c r="R104" s="37"/>
      <c r="S104" s="38"/>
    </row>
    <row r="105" s="1" customFormat="1" ht="11" customHeight="1" spans="4:19">
      <c r="D105" s="37"/>
      <c r="E105" s="38"/>
      <c r="F105" s="38"/>
      <c r="G105" s="38"/>
      <c r="H105" s="37"/>
      <c r="I105" s="37"/>
      <c r="J105" s="37"/>
      <c r="K105" s="37"/>
      <c r="L105" s="3"/>
      <c r="M105" s="38"/>
      <c r="N105" s="38"/>
      <c r="O105" s="38"/>
      <c r="P105" s="38"/>
      <c r="Q105" s="38"/>
      <c r="R105" s="37"/>
      <c r="S105" s="38"/>
    </row>
    <row r="106" s="1" customFormat="1" ht="11" customHeight="1" spans="4:19">
      <c r="D106" s="37"/>
      <c r="E106" s="38"/>
      <c r="F106" s="38"/>
      <c r="G106" s="38"/>
      <c r="H106" s="37"/>
      <c r="I106" s="37"/>
      <c r="J106" s="37"/>
      <c r="K106" s="37"/>
      <c r="L106" s="3"/>
      <c r="M106" s="38"/>
      <c r="N106" s="38"/>
      <c r="O106" s="38"/>
      <c r="P106" s="38"/>
      <c r="Q106" s="38"/>
      <c r="R106" s="37"/>
      <c r="S106" s="38"/>
    </row>
    <row r="107" s="1" customFormat="1" ht="11" customHeight="1" spans="4:19">
      <c r="D107" s="37"/>
      <c r="E107" s="38"/>
      <c r="F107" s="38"/>
      <c r="G107" s="38"/>
      <c r="H107" s="37"/>
      <c r="I107" s="37"/>
      <c r="J107" s="37"/>
      <c r="K107" s="37"/>
      <c r="L107" s="3"/>
      <c r="M107" s="38"/>
      <c r="N107" s="38"/>
      <c r="O107" s="38"/>
      <c r="P107" s="38"/>
      <c r="Q107" s="38"/>
      <c r="R107" s="37"/>
      <c r="S107" s="38"/>
    </row>
    <row r="108" s="1" customFormat="1" ht="11" customHeight="1" spans="4:19">
      <c r="D108" s="37"/>
      <c r="E108" s="38"/>
      <c r="F108" s="38"/>
      <c r="G108" s="38"/>
      <c r="H108" s="37"/>
      <c r="I108" s="37"/>
      <c r="J108" s="37"/>
      <c r="K108" s="37"/>
      <c r="L108" s="3"/>
      <c r="M108" s="38"/>
      <c r="N108" s="38"/>
      <c r="O108" s="38"/>
      <c r="P108" s="38"/>
      <c r="Q108" s="38"/>
      <c r="R108" s="37"/>
      <c r="S108" s="38"/>
    </row>
    <row r="109" s="1" customFormat="1" ht="11" customHeight="1" spans="4:19">
      <c r="D109" s="37"/>
      <c r="E109" s="38"/>
      <c r="F109" s="38"/>
      <c r="G109" s="38"/>
      <c r="H109" s="37"/>
      <c r="I109" s="37"/>
      <c r="J109" s="37"/>
      <c r="K109" s="37"/>
      <c r="L109" s="3"/>
      <c r="M109" s="38"/>
      <c r="N109" s="38"/>
      <c r="O109" s="38"/>
      <c r="P109" s="38"/>
      <c r="Q109" s="38"/>
      <c r="R109" s="37"/>
      <c r="S109" s="38"/>
    </row>
  </sheetData>
  <mergeCells count="6">
    <mergeCell ref="D1:S1"/>
    <mergeCell ref="E2:J2"/>
    <mergeCell ref="D102:S102"/>
    <mergeCell ref="D2:D3"/>
    <mergeCell ref="K2:K3"/>
    <mergeCell ref="L2:L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topLeftCell="C1" workbookViewId="0">
      <selection activeCell="J7" sqref="J7"/>
    </sheetView>
  </sheetViews>
  <sheetFormatPr defaultColWidth="9" defaultRowHeight="15"/>
  <cols>
    <col min="1" max="2" width="9" style="1" hidden="1" customWidth="1"/>
    <col min="3" max="3" width="20.875" style="1" customWidth="1"/>
    <col min="4" max="5" width="11.75" style="104" customWidth="1"/>
    <col min="6" max="6" width="13.5083333333333" style="104" customWidth="1"/>
    <col min="7" max="7" width="13.25" style="104" customWidth="1"/>
    <col min="8" max="8" width="12.25" style="104" hidden="1" customWidth="1"/>
    <col min="9" max="9" width="12.25" style="124" customWidth="1"/>
    <col min="10" max="11" width="12.25" style="104" customWidth="1"/>
    <col min="12" max="15" width="9.375" style="104" hidden="1" customWidth="1"/>
    <col min="16" max="16" width="12.25" style="104" hidden="1" customWidth="1"/>
    <col min="17" max="17" width="9.75" style="76" hidden="1" customWidth="1"/>
    <col min="18" max="18" width="12.625" style="104" hidden="1" customWidth="1"/>
    <col min="19" max="16372" width="9" style="90"/>
  </cols>
  <sheetData>
    <row r="1" s="1" customFormat="1" ht="29" customHeight="1" spans="3:18">
      <c r="C1" s="6" t="s">
        <v>0</v>
      </c>
      <c r="D1" s="6"/>
      <c r="E1" s="6"/>
      <c r="F1" s="6"/>
      <c r="G1" s="6"/>
      <c r="H1" s="6"/>
      <c r="I1" s="6"/>
      <c r="J1" s="6"/>
      <c r="K1" s="6"/>
      <c r="L1" s="131"/>
      <c r="M1" s="131"/>
      <c r="N1" s="131"/>
      <c r="O1" s="131"/>
      <c r="P1" s="131"/>
      <c r="Q1" s="138"/>
      <c r="R1" s="131"/>
    </row>
    <row r="2" s="1" customFormat="1" ht="29" customHeight="1" spans="3:20">
      <c r="C2" s="8" t="s">
        <v>1</v>
      </c>
      <c r="D2" s="42" t="s">
        <v>3</v>
      </c>
      <c r="E2" s="42"/>
      <c r="F2" s="42"/>
      <c r="G2" s="125"/>
      <c r="H2" s="8" t="s">
        <v>4</v>
      </c>
      <c r="I2" s="132" t="s">
        <v>145</v>
      </c>
      <c r="J2" s="132"/>
      <c r="K2" s="132"/>
      <c r="L2" s="131"/>
      <c r="M2" s="131"/>
      <c r="N2" s="131"/>
      <c r="O2" s="131"/>
      <c r="P2" s="131"/>
      <c r="Q2" s="131"/>
      <c r="R2" s="131"/>
      <c r="S2" s="131"/>
      <c r="T2" s="131"/>
    </row>
    <row r="3" s="1" customFormat="1" ht="50" customHeight="1" spans="1:18">
      <c r="A3" s="105" t="s">
        <v>5</v>
      </c>
      <c r="B3" s="105" t="s">
        <v>6</v>
      </c>
      <c r="C3" s="8"/>
      <c r="D3" s="126" t="s">
        <v>17</v>
      </c>
      <c r="E3" s="13" t="s">
        <v>18</v>
      </c>
      <c r="F3" s="13" t="s">
        <v>20</v>
      </c>
      <c r="G3" s="127" t="s">
        <v>21</v>
      </c>
      <c r="H3" s="8"/>
      <c r="I3" s="133" t="s">
        <v>146</v>
      </c>
      <c r="J3" s="134" t="s">
        <v>147</v>
      </c>
      <c r="K3" s="134" t="s">
        <v>148</v>
      </c>
      <c r="L3" s="135" t="s">
        <v>17</v>
      </c>
      <c r="M3" s="136" t="s">
        <v>18</v>
      </c>
      <c r="N3" s="136" t="s">
        <v>22</v>
      </c>
      <c r="O3" s="35" t="s">
        <v>20</v>
      </c>
      <c r="P3" s="35" t="s">
        <v>23</v>
      </c>
      <c r="Q3" s="35" t="s">
        <v>15</v>
      </c>
      <c r="R3" s="35" t="s">
        <v>24</v>
      </c>
    </row>
    <row r="4" s="2" customFormat="1" ht="18" customHeight="1" spans="1:18">
      <c r="A4" s="15"/>
      <c r="B4" s="15"/>
      <c r="C4" s="15" t="s">
        <v>48</v>
      </c>
      <c r="D4" s="128">
        <f>SUM(D5:D11)</f>
        <v>180</v>
      </c>
      <c r="E4" s="128">
        <f>SUM(E5:E11)</f>
        <v>400</v>
      </c>
      <c r="F4" s="128">
        <f t="shared" ref="F4:K4" si="0">SUM(F5:F11)</f>
        <v>99</v>
      </c>
      <c r="G4" s="128">
        <f t="shared" si="0"/>
        <v>679</v>
      </c>
      <c r="H4" s="128" t="e">
        <f t="shared" si="0"/>
        <v>#REF!</v>
      </c>
      <c r="I4" s="128">
        <f t="shared" si="0"/>
        <v>303</v>
      </c>
      <c r="J4" s="128">
        <f t="shared" si="0"/>
        <v>193</v>
      </c>
      <c r="K4" s="128">
        <f t="shared" si="0"/>
        <v>183</v>
      </c>
      <c r="L4" s="128">
        <f>SUM(L6:L11)</f>
        <v>120</v>
      </c>
      <c r="M4" s="119">
        <f>SUM(M6:M11)</f>
        <v>80</v>
      </c>
      <c r="N4" s="14"/>
      <c r="O4" s="119"/>
      <c r="P4" s="119" t="e">
        <f>SUM(P5:P11)</f>
        <v>#REF!</v>
      </c>
      <c r="Q4" s="139"/>
      <c r="R4" s="119" t="e">
        <f>SUM(R6:R11)</f>
        <v>#REF!</v>
      </c>
    </row>
    <row r="5" s="2" customFormat="1" ht="18" customHeight="1" spans="1:18">
      <c r="A5" s="15"/>
      <c r="B5" s="15"/>
      <c r="C5" s="18" t="s">
        <v>49</v>
      </c>
      <c r="D5" s="129"/>
      <c r="E5" s="130">
        <v>120</v>
      </c>
      <c r="F5" s="130"/>
      <c r="G5" s="130">
        <f t="shared" ref="G5:G11" si="1">SUM(D5:F5)</f>
        <v>120</v>
      </c>
      <c r="H5" s="130" t="e">
        <f>#REF!+G5</f>
        <v>#REF!</v>
      </c>
      <c r="I5" s="130">
        <f>50</f>
        <v>50</v>
      </c>
      <c r="J5" s="130">
        <f>40</f>
        <v>40</v>
      </c>
      <c r="K5" s="130">
        <f>30</f>
        <v>30</v>
      </c>
      <c r="L5" s="128"/>
      <c r="M5" s="119"/>
      <c r="N5" s="19">
        <v>39.61</v>
      </c>
      <c r="O5" s="119"/>
      <c r="P5" s="119"/>
      <c r="Q5" s="139"/>
      <c r="R5" s="119"/>
    </row>
    <row r="6" s="3" customFormat="1" ht="18" customHeight="1" spans="1:19">
      <c r="A6" s="18"/>
      <c r="B6" s="18"/>
      <c r="C6" s="18" t="s">
        <v>50</v>
      </c>
      <c r="D6" s="129">
        <v>100</v>
      </c>
      <c r="E6" s="130"/>
      <c r="F6" s="130"/>
      <c r="G6" s="130">
        <f t="shared" si="1"/>
        <v>100</v>
      </c>
      <c r="H6" s="119" t="e">
        <f>#REF!+G6</f>
        <v>#REF!</v>
      </c>
      <c r="I6" s="130">
        <v>50</v>
      </c>
      <c r="J6" s="130">
        <v>20</v>
      </c>
      <c r="K6" s="130">
        <v>30</v>
      </c>
      <c r="L6" s="129">
        <v>60</v>
      </c>
      <c r="M6" s="130">
        <v>20</v>
      </c>
      <c r="N6" s="19"/>
      <c r="O6" s="130"/>
      <c r="P6" s="130" t="e">
        <f>SUM(D6:O6)</f>
        <v>#REF!</v>
      </c>
      <c r="Q6" s="120">
        <v>1</v>
      </c>
      <c r="R6" s="130" t="e">
        <f>ROUND(P6*Q6,0)</f>
        <v>#REF!</v>
      </c>
      <c r="S6" s="2"/>
    </row>
    <row r="7" s="3" customFormat="1" ht="18" customHeight="1" spans="1:19">
      <c r="A7" s="18"/>
      <c r="B7" s="18"/>
      <c r="C7" s="18" t="s">
        <v>51</v>
      </c>
      <c r="D7" s="129"/>
      <c r="E7" s="130">
        <v>160</v>
      </c>
      <c r="F7" s="130">
        <v>99</v>
      </c>
      <c r="G7" s="130">
        <f t="shared" si="1"/>
        <v>259</v>
      </c>
      <c r="H7" s="119" t="e">
        <f>#REF!+G7</f>
        <v>#REF!</v>
      </c>
      <c r="I7" s="130">
        <f>50+39</f>
        <v>89</v>
      </c>
      <c r="J7" s="130">
        <f>60+30</f>
        <v>90</v>
      </c>
      <c r="K7" s="130">
        <f>50+30</f>
        <v>80</v>
      </c>
      <c r="L7" s="129"/>
      <c r="M7" s="130"/>
      <c r="N7" s="19"/>
      <c r="O7" s="130">
        <v>129</v>
      </c>
      <c r="P7" s="130" t="e">
        <f>SUM(D7:O7)</f>
        <v>#REF!</v>
      </c>
      <c r="Q7" s="120">
        <v>1</v>
      </c>
      <c r="R7" s="130" t="e">
        <f>ROUND(P7*Q7,0)</f>
        <v>#REF!</v>
      </c>
      <c r="S7" s="2"/>
    </row>
    <row r="8" s="3" customFormat="1" ht="18" customHeight="1" spans="1:19">
      <c r="A8" s="18"/>
      <c r="B8" s="18"/>
      <c r="C8" s="18" t="s">
        <v>149</v>
      </c>
      <c r="D8" s="129">
        <v>20</v>
      </c>
      <c r="E8" s="130"/>
      <c r="F8" s="130"/>
      <c r="G8" s="130">
        <f t="shared" si="1"/>
        <v>20</v>
      </c>
      <c r="H8" s="119"/>
      <c r="I8" s="130">
        <v>14</v>
      </c>
      <c r="J8" s="130">
        <v>3</v>
      </c>
      <c r="K8" s="130">
        <v>3</v>
      </c>
      <c r="L8" s="129"/>
      <c r="M8" s="130"/>
      <c r="N8" s="19"/>
      <c r="O8" s="130"/>
      <c r="P8" s="130"/>
      <c r="Q8" s="120"/>
      <c r="R8" s="130"/>
      <c r="S8" s="2"/>
    </row>
    <row r="9" s="3" customFormat="1" ht="18" customHeight="1" spans="1:19">
      <c r="A9" s="18"/>
      <c r="B9" s="18"/>
      <c r="C9" s="18" t="s">
        <v>52</v>
      </c>
      <c r="D9" s="129">
        <v>60</v>
      </c>
      <c r="E9" s="130">
        <v>20</v>
      </c>
      <c r="F9" s="130"/>
      <c r="G9" s="130">
        <f t="shared" si="1"/>
        <v>80</v>
      </c>
      <c r="H9" s="119" t="e">
        <f>#REF!+G9</f>
        <v>#REF!</v>
      </c>
      <c r="I9" s="130">
        <v>40</v>
      </c>
      <c r="J9" s="130">
        <v>20</v>
      </c>
      <c r="K9" s="130">
        <v>20</v>
      </c>
      <c r="L9" s="129">
        <v>60</v>
      </c>
      <c r="M9" s="130">
        <v>20</v>
      </c>
      <c r="N9" s="19"/>
      <c r="O9" s="130"/>
      <c r="P9" s="130" t="e">
        <f>SUM(D9:O9)</f>
        <v>#REF!</v>
      </c>
      <c r="Q9" s="120">
        <v>1</v>
      </c>
      <c r="R9" s="130" t="e">
        <f>ROUND(P9*Q9,0)</f>
        <v>#REF!</v>
      </c>
      <c r="S9" s="2"/>
    </row>
    <row r="10" s="3" customFormat="1" ht="18" customHeight="1" spans="1:19">
      <c r="A10" s="18"/>
      <c r="B10" s="18"/>
      <c r="C10" s="18" t="s">
        <v>53</v>
      </c>
      <c r="D10" s="129"/>
      <c r="E10" s="130">
        <v>50</v>
      </c>
      <c r="F10" s="130"/>
      <c r="G10" s="130">
        <f t="shared" si="1"/>
        <v>50</v>
      </c>
      <c r="H10" s="119" t="e">
        <f>#REF!+G10</f>
        <v>#REF!</v>
      </c>
      <c r="I10" s="130">
        <v>30</v>
      </c>
      <c r="J10" s="130">
        <v>10</v>
      </c>
      <c r="K10" s="130">
        <v>10</v>
      </c>
      <c r="L10" s="129"/>
      <c r="M10" s="130">
        <v>20</v>
      </c>
      <c r="N10" s="19"/>
      <c r="O10" s="130"/>
      <c r="P10" s="130" t="e">
        <f>SUM(D10:O10)</f>
        <v>#REF!</v>
      </c>
      <c r="Q10" s="120">
        <v>1</v>
      </c>
      <c r="R10" s="130" t="e">
        <f>ROUND(P10*Q10,0)</f>
        <v>#REF!</v>
      </c>
      <c r="S10" s="2"/>
    </row>
    <row r="11" s="3" customFormat="1" ht="18" customHeight="1" spans="1:19">
      <c r="A11" s="18"/>
      <c r="B11" s="18"/>
      <c r="C11" s="18" t="s">
        <v>54</v>
      </c>
      <c r="D11" s="129"/>
      <c r="E11" s="130">
        <v>50</v>
      </c>
      <c r="F11" s="130"/>
      <c r="G11" s="130">
        <f t="shared" si="1"/>
        <v>50</v>
      </c>
      <c r="H11" s="119" t="e">
        <f>#REF!+G11</f>
        <v>#REF!</v>
      </c>
      <c r="I11" s="130">
        <v>30</v>
      </c>
      <c r="J11" s="130">
        <v>10</v>
      </c>
      <c r="K11" s="130">
        <v>10</v>
      </c>
      <c r="L11" s="129"/>
      <c r="M11" s="130">
        <v>20</v>
      </c>
      <c r="N11" s="19"/>
      <c r="O11" s="130"/>
      <c r="P11" s="130" t="e">
        <f>SUM(D11:O11)</f>
        <v>#REF!</v>
      </c>
      <c r="Q11" s="120">
        <v>1</v>
      </c>
      <c r="R11" s="130" t="e">
        <f>ROUND(P11*Q11,0)</f>
        <v>#REF!</v>
      </c>
      <c r="S11" s="2"/>
    </row>
    <row r="12" s="1" customFormat="1" ht="16" customHeight="1" spans="3:18">
      <c r="C12" s="113"/>
      <c r="D12" s="112"/>
      <c r="E12" s="112"/>
      <c r="F12" s="112"/>
      <c r="G12" s="112"/>
      <c r="H12" s="112"/>
      <c r="I12" s="137"/>
      <c r="J12" s="112"/>
      <c r="K12" s="112"/>
      <c r="L12" s="112"/>
      <c r="M12" s="112"/>
      <c r="N12" s="112"/>
      <c r="O12" s="112"/>
      <c r="P12" s="112"/>
      <c r="Q12" s="113"/>
      <c r="R12" s="112"/>
    </row>
    <row r="13" s="1" customFormat="1" ht="16" customHeight="1" spans="3:18">
      <c r="C13" s="113"/>
      <c r="D13" s="112"/>
      <c r="E13" s="112"/>
      <c r="F13" s="112"/>
      <c r="G13" s="112"/>
      <c r="H13" s="112"/>
      <c r="I13" s="137"/>
      <c r="J13" s="112"/>
      <c r="K13" s="112"/>
      <c r="L13" s="112"/>
      <c r="M13" s="112"/>
      <c r="N13" s="112"/>
      <c r="O13" s="112"/>
      <c r="P13" s="112"/>
      <c r="Q13" s="113"/>
      <c r="R13" s="112"/>
    </row>
    <row r="14" s="1" customFormat="1" ht="16" customHeight="1" spans="3:18">
      <c r="C14" s="113"/>
      <c r="D14" s="112"/>
      <c r="E14" s="112"/>
      <c r="F14" s="112"/>
      <c r="G14" s="112"/>
      <c r="H14" s="112"/>
      <c r="I14" s="137"/>
      <c r="J14" s="112"/>
      <c r="K14" s="112"/>
      <c r="L14" s="112"/>
      <c r="M14" s="112"/>
      <c r="N14" s="112"/>
      <c r="O14" s="112"/>
      <c r="P14" s="112"/>
      <c r="Q14" s="113"/>
      <c r="R14" s="112"/>
    </row>
    <row r="15" s="1" customFormat="1" ht="16" customHeight="1" spans="3:18">
      <c r="C15" s="113"/>
      <c r="D15" s="112"/>
      <c r="E15" s="112"/>
      <c r="F15" s="112"/>
      <c r="G15" s="112"/>
      <c r="H15" s="112"/>
      <c r="I15" s="137"/>
      <c r="J15" s="112"/>
      <c r="K15" s="112"/>
      <c r="L15" s="112"/>
      <c r="M15" s="112"/>
      <c r="N15" s="112"/>
      <c r="O15" s="112"/>
      <c r="P15" s="112"/>
      <c r="Q15" s="113"/>
      <c r="R15" s="112"/>
    </row>
    <row r="16" s="1" customFormat="1" ht="16" customHeight="1" spans="3:18">
      <c r="C16" s="113"/>
      <c r="D16" s="112"/>
      <c r="E16" s="112"/>
      <c r="F16" s="112"/>
      <c r="G16" s="112"/>
      <c r="H16" s="112"/>
      <c r="I16" s="137"/>
      <c r="J16" s="112"/>
      <c r="K16" s="112"/>
      <c r="L16" s="112"/>
      <c r="M16" s="112"/>
      <c r="N16" s="112"/>
      <c r="O16" s="112"/>
      <c r="P16" s="112"/>
      <c r="Q16" s="113"/>
      <c r="R16" s="112"/>
    </row>
    <row r="17" s="1" customFormat="1" ht="16" customHeight="1" spans="3:18">
      <c r="C17" s="113"/>
      <c r="D17" s="112"/>
      <c r="E17" s="112"/>
      <c r="F17" s="112"/>
      <c r="G17" s="112"/>
      <c r="H17" s="112"/>
      <c r="I17" s="137"/>
      <c r="J17" s="112"/>
      <c r="K17" s="112"/>
      <c r="L17" s="112"/>
      <c r="M17" s="112"/>
      <c r="N17" s="112"/>
      <c r="O17" s="112"/>
      <c r="P17" s="112"/>
      <c r="Q17" s="113"/>
      <c r="R17" s="112"/>
    </row>
    <row r="18" s="1" customFormat="1" ht="16" customHeight="1" spans="3:18">
      <c r="C18" s="113"/>
      <c r="D18" s="112"/>
      <c r="E18" s="112"/>
      <c r="F18" s="112"/>
      <c r="G18" s="112"/>
      <c r="H18" s="112"/>
      <c r="I18" s="137"/>
      <c r="J18" s="112"/>
      <c r="K18" s="112"/>
      <c r="L18" s="112"/>
      <c r="M18" s="112"/>
      <c r="N18" s="112"/>
      <c r="O18" s="112"/>
      <c r="P18" s="112"/>
      <c r="Q18" s="113"/>
      <c r="R18" s="112"/>
    </row>
    <row r="19" s="1" customFormat="1" spans="4:18">
      <c r="D19" s="104"/>
      <c r="E19" s="104"/>
      <c r="F19" s="104"/>
      <c r="G19" s="104"/>
      <c r="H19" s="104"/>
      <c r="I19" s="124"/>
      <c r="J19" s="104"/>
      <c r="K19" s="104"/>
      <c r="L19" s="104"/>
      <c r="M19" s="104"/>
      <c r="N19" s="104"/>
      <c r="O19" s="104"/>
      <c r="P19" s="104"/>
      <c r="Q19" s="76"/>
      <c r="R19" s="104"/>
    </row>
  </sheetData>
  <mergeCells count="5">
    <mergeCell ref="C1:K1"/>
    <mergeCell ref="D2:G2"/>
    <mergeCell ref="I2:K2"/>
    <mergeCell ref="C2:C3"/>
    <mergeCell ref="H2:H3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0"/>
  <sheetViews>
    <sheetView topLeftCell="I1" workbookViewId="0">
      <selection activeCell="Q12" sqref="Q12"/>
    </sheetView>
  </sheetViews>
  <sheetFormatPr defaultColWidth="9" defaultRowHeight="15"/>
  <cols>
    <col min="1" max="1" width="9" style="1" hidden="1" customWidth="1"/>
    <col min="2" max="2" width="9.50833333333333" style="1" hidden="1" customWidth="1"/>
    <col min="3" max="3" width="9.25" style="104" hidden="1" customWidth="1"/>
    <col min="4" max="4" width="20.875" style="1" customWidth="1"/>
    <col min="5" max="5" width="9.25833333333333" style="76" customWidth="1"/>
    <col min="6" max="6" width="11.75" style="76" customWidth="1"/>
    <col min="7" max="7" width="13.5083333333333" style="76" customWidth="1"/>
    <col min="8" max="8" width="13.875" style="76" customWidth="1"/>
    <col min="9" max="9" width="14.375" style="104" customWidth="1"/>
    <col min="10" max="11" width="16.875" style="104" customWidth="1"/>
    <col min="12" max="13" width="13.25" style="104" customWidth="1"/>
    <col min="14" max="14" width="12.25" style="104" customWidth="1"/>
    <col min="15" max="17" width="11.625" style="90" customWidth="1"/>
    <col min="19" max="19" width="9.375"/>
  </cols>
  <sheetData>
    <row r="1" s="1" customFormat="1" ht="29" customHeight="1" spans="3:17">
      <c r="C1" s="6"/>
      <c r="D1" s="6" t="s">
        <v>0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50" customHeight="1" spans="1:17">
      <c r="A2" s="105" t="s">
        <v>5</v>
      </c>
      <c r="B2" s="105" t="s">
        <v>6</v>
      </c>
      <c r="C2" s="13" t="s">
        <v>15</v>
      </c>
      <c r="D2" s="8" t="s">
        <v>1</v>
      </c>
      <c r="E2" s="8" t="s">
        <v>7</v>
      </c>
      <c r="F2" s="8" t="s">
        <v>8</v>
      </c>
      <c r="G2" s="8" t="s">
        <v>9</v>
      </c>
      <c r="H2" s="8" t="s">
        <v>150</v>
      </c>
      <c r="I2" s="13" t="s">
        <v>151</v>
      </c>
      <c r="J2" s="13" t="s">
        <v>12</v>
      </c>
      <c r="K2" s="13" t="s">
        <v>13</v>
      </c>
      <c r="L2" s="13" t="s">
        <v>152</v>
      </c>
      <c r="M2" s="13" t="s">
        <v>153</v>
      </c>
      <c r="N2" s="8" t="s">
        <v>154</v>
      </c>
      <c r="O2" s="8"/>
      <c r="P2" s="8"/>
      <c r="Q2" s="8"/>
    </row>
    <row r="3" s="75" customFormat="1" ht="43" customHeight="1" spans="1:17">
      <c r="A3" s="106"/>
      <c r="B3" s="106"/>
      <c r="C3" s="13" t="s">
        <v>34</v>
      </c>
      <c r="D3" s="8" t="s">
        <v>25</v>
      </c>
      <c r="E3" s="8" t="s">
        <v>26</v>
      </c>
      <c r="F3" s="8" t="s">
        <v>27</v>
      </c>
      <c r="G3" s="8" t="s">
        <v>28</v>
      </c>
      <c r="H3" s="8" t="s">
        <v>29</v>
      </c>
      <c r="I3" s="13" t="s">
        <v>30</v>
      </c>
      <c r="J3" s="13" t="s">
        <v>31</v>
      </c>
      <c r="K3" s="13" t="s">
        <v>155</v>
      </c>
      <c r="L3" s="13" t="s">
        <v>43</v>
      </c>
      <c r="M3" s="13" t="s">
        <v>156</v>
      </c>
      <c r="N3" s="13" t="s">
        <v>157</v>
      </c>
      <c r="O3" s="42" t="s">
        <v>146</v>
      </c>
      <c r="P3" s="42" t="s">
        <v>158</v>
      </c>
      <c r="Q3" s="42" t="s">
        <v>159</v>
      </c>
    </row>
    <row r="4" s="2" customFormat="1" ht="18" customHeight="1" spans="1:19">
      <c r="A4" s="15"/>
      <c r="B4" s="15"/>
      <c r="C4" s="119"/>
      <c r="D4" s="16" t="s">
        <v>47</v>
      </c>
      <c r="E4" s="40">
        <f t="shared" ref="E4:Q4" si="0">E5+E13</f>
        <v>20974449</v>
      </c>
      <c r="F4" s="40">
        <f t="shared" si="0"/>
        <v>943721</v>
      </c>
      <c r="G4" s="40">
        <f t="shared" si="0"/>
        <v>13638395</v>
      </c>
      <c r="H4" s="40">
        <f t="shared" si="0"/>
        <v>1227455</v>
      </c>
      <c r="I4" s="41">
        <f t="shared" si="0"/>
        <v>27276.79</v>
      </c>
      <c r="J4" s="41">
        <f t="shared" si="0"/>
        <v>8592.18</v>
      </c>
      <c r="K4" s="41">
        <f t="shared" si="0"/>
        <v>868.45</v>
      </c>
      <c r="L4" s="41">
        <f t="shared" si="0"/>
        <v>4474</v>
      </c>
      <c r="M4" s="41">
        <f t="shared" si="0"/>
        <v>41211.42</v>
      </c>
      <c r="N4" s="41">
        <f t="shared" si="0"/>
        <v>27955.79</v>
      </c>
      <c r="O4" s="41">
        <f t="shared" si="0"/>
        <v>4228.26</v>
      </c>
      <c r="P4" s="41">
        <f t="shared" si="0"/>
        <v>8043.54</v>
      </c>
      <c r="Q4" s="41">
        <f t="shared" si="0"/>
        <v>15683.99</v>
      </c>
      <c r="S4" s="2">
        <f>M4-N4</f>
        <v>13255.63</v>
      </c>
    </row>
    <row r="5" s="2" customFormat="1" ht="18" customHeight="1" spans="1:17">
      <c r="A5" s="15"/>
      <c r="B5" s="15"/>
      <c r="C5" s="40"/>
      <c r="D5" s="15" t="s">
        <v>48</v>
      </c>
      <c r="E5" s="40"/>
      <c r="F5" s="40"/>
      <c r="G5" s="40"/>
      <c r="H5" s="40"/>
      <c r="I5" s="41"/>
      <c r="J5" s="41"/>
      <c r="K5" s="41"/>
      <c r="L5" s="41">
        <f t="shared" ref="L5:Q5" si="1">SUM(L6:L12)</f>
        <v>679</v>
      </c>
      <c r="M5" s="41">
        <f t="shared" si="1"/>
        <v>679</v>
      </c>
      <c r="N5" s="41">
        <f t="shared" si="1"/>
        <v>679</v>
      </c>
      <c r="O5" s="41">
        <f t="shared" si="1"/>
        <v>303</v>
      </c>
      <c r="P5" s="41">
        <f t="shared" si="1"/>
        <v>193</v>
      </c>
      <c r="Q5" s="41">
        <f t="shared" si="1"/>
        <v>183</v>
      </c>
    </row>
    <row r="6" s="2" customFormat="1" ht="18" customHeight="1" spans="1:17">
      <c r="A6" s="15"/>
      <c r="B6" s="15"/>
      <c r="C6" s="120">
        <v>1</v>
      </c>
      <c r="D6" s="18" t="s">
        <v>49</v>
      </c>
      <c r="E6" s="40"/>
      <c r="F6" s="40"/>
      <c r="G6" s="40"/>
      <c r="H6" s="40"/>
      <c r="I6" s="41"/>
      <c r="J6" s="41"/>
      <c r="K6" s="41"/>
      <c r="L6" s="118">
        <v>120</v>
      </c>
      <c r="M6" s="118">
        <f t="shared" ref="M6:M12" si="2">SUM(I6:L6)</f>
        <v>120</v>
      </c>
      <c r="N6" s="41">
        <f t="shared" ref="N6:N12" si="3">L6</f>
        <v>120</v>
      </c>
      <c r="O6" s="118">
        <v>50</v>
      </c>
      <c r="P6" s="118">
        <v>40</v>
      </c>
      <c r="Q6" s="118">
        <v>30</v>
      </c>
    </row>
    <row r="7" s="3" customFormat="1" ht="18" customHeight="1" spans="1:17">
      <c r="A7" s="18"/>
      <c r="B7" s="18"/>
      <c r="C7" s="120">
        <v>1</v>
      </c>
      <c r="D7" s="18" t="s">
        <v>50</v>
      </c>
      <c r="E7" s="121"/>
      <c r="F7" s="121"/>
      <c r="G7" s="121"/>
      <c r="H7" s="121"/>
      <c r="I7" s="118"/>
      <c r="J7" s="118"/>
      <c r="K7" s="118"/>
      <c r="L7" s="118">
        <v>100</v>
      </c>
      <c r="M7" s="118">
        <f t="shared" si="2"/>
        <v>100</v>
      </c>
      <c r="N7" s="41">
        <f t="shared" si="3"/>
        <v>100</v>
      </c>
      <c r="O7" s="118">
        <v>50</v>
      </c>
      <c r="P7" s="118">
        <v>20</v>
      </c>
      <c r="Q7" s="118">
        <v>30</v>
      </c>
    </row>
    <row r="8" s="3" customFormat="1" ht="18" customHeight="1" spans="1:17">
      <c r="A8" s="18"/>
      <c r="B8" s="18"/>
      <c r="C8" s="120">
        <v>1</v>
      </c>
      <c r="D8" s="18" t="s">
        <v>51</v>
      </c>
      <c r="E8" s="121"/>
      <c r="F8" s="121"/>
      <c r="G8" s="121"/>
      <c r="H8" s="121"/>
      <c r="I8" s="118"/>
      <c r="J8" s="118"/>
      <c r="K8" s="118"/>
      <c r="L8" s="118">
        <v>259</v>
      </c>
      <c r="M8" s="118">
        <f t="shared" si="2"/>
        <v>259</v>
      </c>
      <c r="N8" s="41">
        <f t="shared" si="3"/>
        <v>259</v>
      </c>
      <c r="O8" s="118">
        <v>89</v>
      </c>
      <c r="P8" s="118">
        <v>90</v>
      </c>
      <c r="Q8" s="118">
        <v>80</v>
      </c>
    </row>
    <row r="9" s="3" customFormat="1" ht="18" customHeight="1" spans="1:17">
      <c r="A9" s="18"/>
      <c r="B9" s="18"/>
      <c r="C9" s="120"/>
      <c r="D9" s="18" t="s">
        <v>149</v>
      </c>
      <c r="E9" s="121"/>
      <c r="F9" s="121"/>
      <c r="G9" s="121"/>
      <c r="H9" s="121"/>
      <c r="I9" s="118"/>
      <c r="J9" s="118"/>
      <c r="K9" s="118"/>
      <c r="L9" s="118">
        <v>20</v>
      </c>
      <c r="M9" s="118">
        <f t="shared" si="2"/>
        <v>20</v>
      </c>
      <c r="N9" s="41">
        <f t="shared" si="3"/>
        <v>20</v>
      </c>
      <c r="O9" s="118">
        <v>14</v>
      </c>
      <c r="P9" s="118">
        <v>3</v>
      </c>
      <c r="Q9" s="118">
        <v>3</v>
      </c>
    </row>
    <row r="10" s="3" customFormat="1" ht="18" customHeight="1" spans="1:17">
      <c r="A10" s="18"/>
      <c r="B10" s="18"/>
      <c r="C10" s="120">
        <v>1</v>
      </c>
      <c r="D10" s="18" t="s">
        <v>52</v>
      </c>
      <c r="E10" s="121"/>
      <c r="F10" s="121"/>
      <c r="G10" s="121"/>
      <c r="H10" s="121"/>
      <c r="I10" s="118"/>
      <c r="J10" s="118"/>
      <c r="K10" s="118"/>
      <c r="L10" s="118">
        <v>80</v>
      </c>
      <c r="M10" s="118">
        <f t="shared" si="2"/>
        <v>80</v>
      </c>
      <c r="N10" s="41">
        <f t="shared" si="3"/>
        <v>80</v>
      </c>
      <c r="O10" s="118">
        <v>40</v>
      </c>
      <c r="P10" s="118">
        <v>20</v>
      </c>
      <c r="Q10" s="118">
        <v>20</v>
      </c>
    </row>
    <row r="11" s="3" customFormat="1" ht="18" customHeight="1" spans="1:17">
      <c r="A11" s="18"/>
      <c r="B11" s="18"/>
      <c r="C11" s="120">
        <v>1</v>
      </c>
      <c r="D11" s="18" t="s">
        <v>53</v>
      </c>
      <c r="E11" s="121"/>
      <c r="F11" s="121"/>
      <c r="G11" s="121"/>
      <c r="H11" s="121"/>
      <c r="I11" s="118"/>
      <c r="J11" s="118"/>
      <c r="K11" s="118"/>
      <c r="L11" s="118">
        <v>50</v>
      </c>
      <c r="M11" s="118">
        <f t="shared" si="2"/>
        <v>50</v>
      </c>
      <c r="N11" s="41">
        <f t="shared" si="3"/>
        <v>50</v>
      </c>
      <c r="O11" s="118">
        <v>30</v>
      </c>
      <c r="P11" s="118">
        <v>10</v>
      </c>
      <c r="Q11" s="118">
        <v>10</v>
      </c>
    </row>
    <row r="12" s="3" customFormat="1" ht="18" customHeight="1" spans="1:17">
      <c r="A12" s="18"/>
      <c r="B12" s="18"/>
      <c r="C12" s="120">
        <v>1</v>
      </c>
      <c r="D12" s="18" t="s">
        <v>54</v>
      </c>
      <c r="E12" s="121"/>
      <c r="F12" s="121"/>
      <c r="G12" s="121"/>
      <c r="H12" s="121"/>
      <c r="I12" s="118"/>
      <c r="J12" s="118"/>
      <c r="K12" s="118"/>
      <c r="L12" s="118">
        <v>50</v>
      </c>
      <c r="M12" s="118">
        <f t="shared" si="2"/>
        <v>50</v>
      </c>
      <c r="N12" s="41">
        <f t="shared" si="3"/>
        <v>50</v>
      </c>
      <c r="O12" s="118">
        <v>30</v>
      </c>
      <c r="P12" s="118">
        <v>10</v>
      </c>
      <c r="Q12" s="118">
        <v>10</v>
      </c>
    </row>
    <row r="13" s="2" customFormat="1" ht="18" customHeight="1" spans="1:17">
      <c r="A13" s="15"/>
      <c r="B13" s="15"/>
      <c r="C13" s="107"/>
      <c r="D13" s="15" t="s">
        <v>55</v>
      </c>
      <c r="E13" s="108">
        <f t="shared" ref="E13:Q13" si="4">E14+E23+E26+E32+E39+E44+E51+E56+E64+E69+E76+E88+E91+E96+E80</f>
        <v>20974449</v>
      </c>
      <c r="F13" s="108">
        <f t="shared" si="4"/>
        <v>943721</v>
      </c>
      <c r="G13" s="108">
        <f t="shared" si="4"/>
        <v>13638395</v>
      </c>
      <c r="H13" s="108">
        <f t="shared" si="4"/>
        <v>1227455</v>
      </c>
      <c r="I13" s="114">
        <f t="shared" si="4"/>
        <v>27276.79</v>
      </c>
      <c r="J13" s="107">
        <f t="shared" si="4"/>
        <v>8592.18</v>
      </c>
      <c r="K13" s="114">
        <f t="shared" si="4"/>
        <v>868.45</v>
      </c>
      <c r="L13" s="114">
        <f t="shared" si="4"/>
        <v>3795</v>
      </c>
      <c r="M13" s="114">
        <f t="shared" si="4"/>
        <v>40532.42</v>
      </c>
      <c r="N13" s="114">
        <f t="shared" si="4"/>
        <v>27276.79</v>
      </c>
      <c r="O13" s="114">
        <f t="shared" si="4"/>
        <v>3925.26</v>
      </c>
      <c r="P13" s="114">
        <f t="shared" si="4"/>
        <v>7850.54</v>
      </c>
      <c r="Q13" s="114">
        <f t="shared" si="4"/>
        <v>15500.99</v>
      </c>
    </row>
    <row r="14" s="4" customFormat="1" ht="18" customHeight="1" spans="1:17">
      <c r="A14" s="22">
        <v>440200</v>
      </c>
      <c r="B14" s="22" t="s">
        <v>56</v>
      </c>
      <c r="C14" s="107"/>
      <c r="D14" s="23" t="s">
        <v>57</v>
      </c>
      <c r="E14" s="108">
        <f t="shared" ref="E14:Q14" si="5">SUM(E15:E22)</f>
        <v>1074160</v>
      </c>
      <c r="F14" s="108">
        <f t="shared" si="5"/>
        <v>49420</v>
      </c>
      <c r="G14" s="108">
        <f t="shared" si="5"/>
        <v>702493</v>
      </c>
      <c r="H14" s="108">
        <f t="shared" si="5"/>
        <v>63223</v>
      </c>
      <c r="I14" s="114">
        <f t="shared" si="5"/>
        <v>1404.99</v>
      </c>
      <c r="J14" s="107">
        <f t="shared" si="5"/>
        <v>442.57</v>
      </c>
      <c r="K14" s="114">
        <f t="shared" si="5"/>
        <v>45.05</v>
      </c>
      <c r="L14" s="114">
        <f t="shared" si="5"/>
        <v>445</v>
      </c>
      <c r="M14" s="114">
        <f t="shared" si="5"/>
        <v>2337.61</v>
      </c>
      <c r="N14" s="114">
        <f t="shared" si="5"/>
        <v>1404.99</v>
      </c>
      <c r="O14" s="114">
        <f t="shared" si="5"/>
        <v>200.71</v>
      </c>
      <c r="P14" s="114">
        <f t="shared" si="5"/>
        <v>401.42</v>
      </c>
      <c r="Q14" s="114">
        <f t="shared" si="5"/>
        <v>802.86</v>
      </c>
    </row>
    <row r="15" s="4" customFormat="1" ht="18" customHeight="1" spans="1:17">
      <c r="A15" s="22"/>
      <c r="B15" s="22"/>
      <c r="C15" s="120">
        <v>0.85</v>
      </c>
      <c r="D15" s="10" t="s">
        <v>58</v>
      </c>
      <c r="E15" s="108"/>
      <c r="F15" s="108"/>
      <c r="G15" s="108"/>
      <c r="H15" s="108"/>
      <c r="I15" s="114"/>
      <c r="J15" s="116">
        <v>0</v>
      </c>
      <c r="K15" s="117">
        <v>0</v>
      </c>
      <c r="L15" s="118">
        <v>25</v>
      </c>
      <c r="M15" s="118">
        <f t="shared" ref="M15:M22" si="6">SUM(I15:L15)</f>
        <v>25</v>
      </c>
      <c r="N15" s="41">
        <f t="shared" ref="N15:N22" si="7">I15</f>
        <v>0</v>
      </c>
      <c r="O15" s="114">
        <v>0</v>
      </c>
      <c r="P15" s="114">
        <v>0</v>
      </c>
      <c r="Q15" s="114">
        <v>0</v>
      </c>
    </row>
    <row r="16" s="1" customFormat="1" ht="18" customHeight="1" spans="1:17">
      <c r="A16" s="10">
        <v>440222</v>
      </c>
      <c r="B16" s="10" t="s">
        <v>56</v>
      </c>
      <c r="C16" s="120">
        <v>0.85</v>
      </c>
      <c r="D16" s="10" t="s">
        <v>59</v>
      </c>
      <c r="E16" s="46">
        <v>122510</v>
      </c>
      <c r="F16" s="46">
        <v>4598</v>
      </c>
      <c r="G16" s="110">
        <f t="shared" ref="G16:G22" si="8">ROUND(E16*0.7-F16,0)</f>
        <v>81159</v>
      </c>
      <c r="H16" s="110">
        <f t="shared" ref="H16:H22" si="9">ROUND(G16*0.09,0)</f>
        <v>7304</v>
      </c>
      <c r="I16" s="115">
        <f t="shared" ref="I16:I22" si="10">ROUND(G16*20/10000,2)</f>
        <v>162.32</v>
      </c>
      <c r="J16" s="116">
        <f t="shared" ref="J16:J22" si="11">ROUND(G16*0.5*0.6*21/10000,2)</f>
        <v>51.13</v>
      </c>
      <c r="K16" s="117">
        <f t="shared" ref="K16:K22" si="12">ROUND((H16+F16)*0.4*10/10000,2)</f>
        <v>4.76</v>
      </c>
      <c r="L16" s="118">
        <v>60</v>
      </c>
      <c r="M16" s="118">
        <f t="shared" si="6"/>
        <v>278.21</v>
      </c>
      <c r="N16" s="41">
        <f t="shared" si="7"/>
        <v>162.32</v>
      </c>
      <c r="O16" s="117">
        <f t="shared" ref="O16:O22" si="13">ROUND((E16-F16/0.7)*0.1*0.002,2)</f>
        <v>23.19</v>
      </c>
      <c r="P16" s="117">
        <f t="shared" ref="P16:P22" si="14">ROUND((E16-F16/0.7)*0.2*0.002,2)</f>
        <v>46.38</v>
      </c>
      <c r="Q16" s="117">
        <f t="shared" ref="Q16:Q22" si="15">N16-O16-P16</f>
        <v>92.75</v>
      </c>
    </row>
    <row r="17" s="1" customFormat="1" ht="18" customHeight="1" spans="1:17">
      <c r="A17" s="10">
        <v>440224</v>
      </c>
      <c r="B17" s="10" t="s">
        <v>56</v>
      </c>
      <c r="C17" s="120">
        <v>0.85</v>
      </c>
      <c r="D17" s="10" t="s">
        <v>60</v>
      </c>
      <c r="E17" s="46">
        <v>120900</v>
      </c>
      <c r="F17" s="46">
        <v>6625</v>
      </c>
      <c r="G17" s="110">
        <f t="shared" si="8"/>
        <v>78005</v>
      </c>
      <c r="H17" s="110">
        <f t="shared" si="9"/>
        <v>7020</v>
      </c>
      <c r="I17" s="115">
        <f t="shared" si="10"/>
        <v>156.01</v>
      </c>
      <c r="J17" s="116">
        <f t="shared" si="11"/>
        <v>49.14</v>
      </c>
      <c r="K17" s="117">
        <f t="shared" si="12"/>
        <v>5.46</v>
      </c>
      <c r="L17" s="118">
        <v>60</v>
      </c>
      <c r="M17" s="118">
        <f t="shared" si="6"/>
        <v>270.61</v>
      </c>
      <c r="N17" s="41">
        <f t="shared" si="7"/>
        <v>156.01</v>
      </c>
      <c r="O17" s="117">
        <f t="shared" si="13"/>
        <v>22.29</v>
      </c>
      <c r="P17" s="117">
        <f t="shared" si="14"/>
        <v>44.57</v>
      </c>
      <c r="Q17" s="117">
        <f t="shared" si="15"/>
        <v>89.15</v>
      </c>
    </row>
    <row r="18" s="1" customFormat="1" ht="18" customHeight="1" spans="1:17">
      <c r="A18" s="10">
        <v>440229</v>
      </c>
      <c r="B18" s="10" t="s">
        <v>56</v>
      </c>
      <c r="C18" s="120">
        <v>0.85</v>
      </c>
      <c r="D18" s="10" t="s">
        <v>61</v>
      </c>
      <c r="E18" s="46">
        <v>188220</v>
      </c>
      <c r="F18" s="46">
        <v>7711</v>
      </c>
      <c r="G18" s="110">
        <f t="shared" si="8"/>
        <v>124043</v>
      </c>
      <c r="H18" s="110">
        <f t="shared" si="9"/>
        <v>11164</v>
      </c>
      <c r="I18" s="115">
        <f t="shared" si="10"/>
        <v>248.09</v>
      </c>
      <c r="J18" s="116">
        <f t="shared" si="11"/>
        <v>78.15</v>
      </c>
      <c r="K18" s="117">
        <f t="shared" si="12"/>
        <v>7.55</v>
      </c>
      <c r="L18" s="118">
        <v>60</v>
      </c>
      <c r="M18" s="118">
        <f t="shared" si="6"/>
        <v>393.79</v>
      </c>
      <c r="N18" s="41">
        <f t="shared" si="7"/>
        <v>248.09</v>
      </c>
      <c r="O18" s="117">
        <f t="shared" si="13"/>
        <v>35.44</v>
      </c>
      <c r="P18" s="117">
        <f t="shared" si="14"/>
        <v>70.88</v>
      </c>
      <c r="Q18" s="117">
        <f t="shared" si="15"/>
        <v>141.77</v>
      </c>
    </row>
    <row r="19" s="1" customFormat="1" ht="18" customHeight="1" spans="1:17">
      <c r="A19" s="10">
        <v>440232</v>
      </c>
      <c r="B19" s="10" t="s">
        <v>56</v>
      </c>
      <c r="C19" s="120">
        <v>1</v>
      </c>
      <c r="D19" s="10" t="s">
        <v>62</v>
      </c>
      <c r="E19" s="46">
        <v>120021</v>
      </c>
      <c r="F19" s="46">
        <v>10263</v>
      </c>
      <c r="G19" s="110">
        <f t="shared" si="8"/>
        <v>73752</v>
      </c>
      <c r="H19" s="110">
        <f t="shared" si="9"/>
        <v>6638</v>
      </c>
      <c r="I19" s="115">
        <f t="shared" si="10"/>
        <v>147.5</v>
      </c>
      <c r="J19" s="116">
        <f t="shared" si="11"/>
        <v>46.46</v>
      </c>
      <c r="K19" s="117">
        <f t="shared" si="12"/>
        <v>6.76</v>
      </c>
      <c r="L19" s="118">
        <v>60</v>
      </c>
      <c r="M19" s="118">
        <f t="shared" si="6"/>
        <v>260.72</v>
      </c>
      <c r="N19" s="41">
        <f t="shared" si="7"/>
        <v>147.5</v>
      </c>
      <c r="O19" s="117">
        <f t="shared" si="13"/>
        <v>21.07</v>
      </c>
      <c r="P19" s="117">
        <f t="shared" si="14"/>
        <v>42.14</v>
      </c>
      <c r="Q19" s="117">
        <f t="shared" si="15"/>
        <v>84.29</v>
      </c>
    </row>
    <row r="20" s="1" customFormat="1" ht="18" customHeight="1" spans="1:17">
      <c r="A20" s="10">
        <v>440233</v>
      </c>
      <c r="B20" s="10" t="s">
        <v>56</v>
      </c>
      <c r="C20" s="120">
        <v>0.85</v>
      </c>
      <c r="D20" s="10" t="s">
        <v>63</v>
      </c>
      <c r="E20" s="46">
        <v>116590</v>
      </c>
      <c r="F20" s="46">
        <v>2266</v>
      </c>
      <c r="G20" s="110">
        <f t="shared" si="8"/>
        <v>79347</v>
      </c>
      <c r="H20" s="110">
        <f t="shared" si="9"/>
        <v>7141</v>
      </c>
      <c r="I20" s="115">
        <f t="shared" si="10"/>
        <v>158.69</v>
      </c>
      <c r="J20" s="116">
        <f t="shared" si="11"/>
        <v>49.99</v>
      </c>
      <c r="K20" s="117">
        <f t="shared" si="12"/>
        <v>3.76</v>
      </c>
      <c r="L20" s="118">
        <v>60</v>
      </c>
      <c r="M20" s="118">
        <f t="shared" si="6"/>
        <v>272.44</v>
      </c>
      <c r="N20" s="41">
        <f t="shared" si="7"/>
        <v>158.69</v>
      </c>
      <c r="O20" s="117">
        <f t="shared" si="13"/>
        <v>22.67</v>
      </c>
      <c r="P20" s="117">
        <f t="shared" si="14"/>
        <v>45.34</v>
      </c>
      <c r="Q20" s="117">
        <f t="shared" si="15"/>
        <v>90.68</v>
      </c>
    </row>
    <row r="21" s="1" customFormat="1" ht="18" customHeight="1" spans="1:17">
      <c r="A21" s="10">
        <v>440281</v>
      </c>
      <c r="B21" s="10" t="s">
        <v>56</v>
      </c>
      <c r="C21" s="120">
        <v>0.85</v>
      </c>
      <c r="D21" s="10" t="s">
        <v>64</v>
      </c>
      <c r="E21" s="46">
        <v>223884</v>
      </c>
      <c r="F21" s="46">
        <v>9370</v>
      </c>
      <c r="G21" s="110">
        <f t="shared" si="8"/>
        <v>147349</v>
      </c>
      <c r="H21" s="110">
        <f t="shared" si="9"/>
        <v>13261</v>
      </c>
      <c r="I21" s="115">
        <f t="shared" si="10"/>
        <v>294.7</v>
      </c>
      <c r="J21" s="116">
        <f t="shared" si="11"/>
        <v>92.83</v>
      </c>
      <c r="K21" s="117">
        <f t="shared" si="12"/>
        <v>9.05</v>
      </c>
      <c r="L21" s="118">
        <v>60</v>
      </c>
      <c r="M21" s="118">
        <f t="shared" si="6"/>
        <v>456.58</v>
      </c>
      <c r="N21" s="41">
        <f t="shared" si="7"/>
        <v>294.7</v>
      </c>
      <c r="O21" s="117">
        <f t="shared" si="13"/>
        <v>42.1</v>
      </c>
      <c r="P21" s="117">
        <f t="shared" si="14"/>
        <v>84.2</v>
      </c>
      <c r="Q21" s="117">
        <f t="shared" si="15"/>
        <v>168.4</v>
      </c>
    </row>
    <row r="22" s="1" customFormat="1" ht="18" customHeight="1" spans="1:17">
      <c r="A22" s="10">
        <v>440282</v>
      </c>
      <c r="B22" s="10" t="s">
        <v>56</v>
      </c>
      <c r="C22" s="120">
        <v>1</v>
      </c>
      <c r="D22" s="10" t="s">
        <v>65</v>
      </c>
      <c r="E22" s="46">
        <v>182035</v>
      </c>
      <c r="F22" s="46">
        <v>8587</v>
      </c>
      <c r="G22" s="110">
        <f t="shared" si="8"/>
        <v>118838</v>
      </c>
      <c r="H22" s="110">
        <f t="shared" si="9"/>
        <v>10695</v>
      </c>
      <c r="I22" s="115">
        <f t="shared" si="10"/>
        <v>237.68</v>
      </c>
      <c r="J22" s="116">
        <f t="shared" si="11"/>
        <v>74.87</v>
      </c>
      <c r="K22" s="117">
        <f t="shared" si="12"/>
        <v>7.71</v>
      </c>
      <c r="L22" s="118">
        <v>60</v>
      </c>
      <c r="M22" s="118">
        <f t="shared" si="6"/>
        <v>380.26</v>
      </c>
      <c r="N22" s="41">
        <f t="shared" si="7"/>
        <v>237.68</v>
      </c>
      <c r="O22" s="117">
        <f t="shared" si="13"/>
        <v>33.95</v>
      </c>
      <c r="P22" s="117">
        <f t="shared" si="14"/>
        <v>67.91</v>
      </c>
      <c r="Q22" s="117">
        <f t="shared" si="15"/>
        <v>135.82</v>
      </c>
    </row>
    <row r="23" s="4" customFormat="1" ht="18" customHeight="1" spans="1:17">
      <c r="A23" s="22">
        <v>440500</v>
      </c>
      <c r="B23" s="22" t="s">
        <v>66</v>
      </c>
      <c r="C23" s="107"/>
      <c r="D23" s="23" t="s">
        <v>67</v>
      </c>
      <c r="E23" s="108">
        <f t="shared" ref="E23:Q23" si="16">SUM(E24:E25)</f>
        <v>46196</v>
      </c>
      <c r="F23" s="108">
        <f t="shared" si="16"/>
        <v>712</v>
      </c>
      <c r="G23" s="108">
        <f t="shared" si="16"/>
        <v>31625</v>
      </c>
      <c r="H23" s="108">
        <f t="shared" si="16"/>
        <v>2846</v>
      </c>
      <c r="I23" s="114">
        <f t="shared" si="16"/>
        <v>63.25</v>
      </c>
      <c r="J23" s="107">
        <f t="shared" si="16"/>
        <v>19.92</v>
      </c>
      <c r="K23" s="114">
        <f t="shared" si="16"/>
        <v>1.42</v>
      </c>
      <c r="L23" s="114">
        <f t="shared" si="16"/>
        <v>85</v>
      </c>
      <c r="M23" s="114">
        <f t="shared" si="16"/>
        <v>169.59</v>
      </c>
      <c r="N23" s="114">
        <f t="shared" si="16"/>
        <v>63.25</v>
      </c>
      <c r="O23" s="114">
        <f t="shared" si="16"/>
        <v>9.04</v>
      </c>
      <c r="P23" s="114">
        <f t="shared" si="16"/>
        <v>18.07</v>
      </c>
      <c r="Q23" s="114">
        <f t="shared" si="16"/>
        <v>36.14</v>
      </c>
    </row>
    <row r="24" s="4" customFormat="1" ht="18" customHeight="1" spans="1:17">
      <c r="A24" s="22"/>
      <c r="B24" s="22"/>
      <c r="C24" s="120">
        <v>0.85</v>
      </c>
      <c r="D24" s="10" t="s">
        <v>58</v>
      </c>
      <c r="E24" s="108"/>
      <c r="F24" s="108"/>
      <c r="G24" s="108"/>
      <c r="H24" s="108"/>
      <c r="I24" s="115">
        <f t="shared" ref="I24:I31" si="17">ROUND(G24*20/10000,2)</f>
        <v>0</v>
      </c>
      <c r="J24" s="116">
        <v>0</v>
      </c>
      <c r="K24" s="117">
        <f>ROUND(H24*0.4*10/10000,2)</f>
        <v>0</v>
      </c>
      <c r="L24" s="118">
        <v>25</v>
      </c>
      <c r="M24" s="118">
        <f t="shared" ref="M24:M31" si="18">SUM(I24:L24)</f>
        <v>25</v>
      </c>
      <c r="N24" s="41">
        <f t="shared" ref="N24:N31" si="19">I24</f>
        <v>0</v>
      </c>
      <c r="O24" s="117">
        <f t="shared" ref="O24:O31" si="20">ROUND((E24-F24/0.7)*0.1*0.002,2)</f>
        <v>0</v>
      </c>
      <c r="P24" s="117">
        <f t="shared" ref="P24:P31" si="21">ROUND((E24-F24/0.7)*0.2*0.002,2)</f>
        <v>0</v>
      </c>
      <c r="Q24" s="117">
        <f t="shared" ref="Q24:Q31" si="22">N24-O24-P24</f>
        <v>0</v>
      </c>
    </row>
    <row r="25" s="1" customFormat="1" ht="18" customHeight="1" spans="1:17">
      <c r="A25" s="10">
        <v>440523</v>
      </c>
      <c r="B25" s="10" t="s">
        <v>66</v>
      </c>
      <c r="C25" s="120">
        <v>0.85</v>
      </c>
      <c r="D25" s="10" t="s">
        <v>68</v>
      </c>
      <c r="E25" s="46">
        <v>46196</v>
      </c>
      <c r="F25" s="46">
        <v>712</v>
      </c>
      <c r="G25" s="110">
        <f t="shared" ref="G25:G31" si="23">ROUND(E25*0.7-F25,0)</f>
        <v>31625</v>
      </c>
      <c r="H25" s="110">
        <f t="shared" ref="H25:H31" si="24">ROUND(G25*0.09,0)</f>
        <v>2846</v>
      </c>
      <c r="I25" s="115">
        <f t="shared" si="17"/>
        <v>63.25</v>
      </c>
      <c r="J25" s="116">
        <f t="shared" ref="J25:J31" si="25">ROUND(G25*0.5*0.6*21/10000,2)</f>
        <v>19.92</v>
      </c>
      <c r="K25" s="117">
        <f t="shared" ref="K25:K31" si="26">ROUND((H25+F25)*0.4*10/10000,2)</f>
        <v>1.42</v>
      </c>
      <c r="L25" s="118">
        <v>60</v>
      </c>
      <c r="M25" s="118">
        <f t="shared" si="18"/>
        <v>144.59</v>
      </c>
      <c r="N25" s="41">
        <f t="shared" si="19"/>
        <v>63.25</v>
      </c>
      <c r="O25" s="117">
        <f t="shared" si="20"/>
        <v>9.04</v>
      </c>
      <c r="P25" s="117">
        <f t="shared" si="21"/>
        <v>18.07</v>
      </c>
      <c r="Q25" s="117">
        <f t="shared" si="22"/>
        <v>36.14</v>
      </c>
    </row>
    <row r="26" s="4" customFormat="1" ht="18" customHeight="1" spans="1:17">
      <c r="A26" s="22">
        <v>440700</v>
      </c>
      <c r="B26" s="22" t="s">
        <v>69</v>
      </c>
      <c r="C26" s="107"/>
      <c r="D26" s="23" t="s">
        <v>70</v>
      </c>
      <c r="E26" s="108">
        <f t="shared" ref="E26:Q26" si="27">SUM(E27:E31)</f>
        <v>1910085</v>
      </c>
      <c r="F26" s="108">
        <f t="shared" si="27"/>
        <v>135514</v>
      </c>
      <c r="G26" s="108">
        <f t="shared" si="27"/>
        <v>1201546</v>
      </c>
      <c r="H26" s="108">
        <f t="shared" si="27"/>
        <v>108140</v>
      </c>
      <c r="I26" s="114">
        <f t="shared" si="27"/>
        <v>2403.09</v>
      </c>
      <c r="J26" s="107">
        <f t="shared" si="27"/>
        <v>756.97</v>
      </c>
      <c r="K26" s="114">
        <f t="shared" si="27"/>
        <v>97.46</v>
      </c>
      <c r="L26" s="114">
        <f t="shared" si="27"/>
        <v>265</v>
      </c>
      <c r="M26" s="114">
        <f t="shared" si="27"/>
        <v>3522.52</v>
      </c>
      <c r="N26" s="114">
        <f t="shared" si="27"/>
        <v>2403.09</v>
      </c>
      <c r="O26" s="114">
        <f t="shared" si="27"/>
        <v>343.3</v>
      </c>
      <c r="P26" s="114">
        <f t="shared" si="27"/>
        <v>686.61</v>
      </c>
      <c r="Q26" s="114">
        <f t="shared" si="27"/>
        <v>1373.18</v>
      </c>
    </row>
    <row r="27" s="4" customFormat="1" ht="18" customHeight="1" spans="1:17">
      <c r="A27" s="22"/>
      <c r="B27" s="22"/>
      <c r="C27" s="122">
        <v>0</v>
      </c>
      <c r="D27" s="10" t="s">
        <v>58</v>
      </c>
      <c r="E27" s="108"/>
      <c r="F27" s="108"/>
      <c r="G27" s="108"/>
      <c r="H27" s="108"/>
      <c r="I27" s="115">
        <f t="shared" si="17"/>
        <v>0</v>
      </c>
      <c r="J27" s="107">
        <v>0</v>
      </c>
      <c r="K27" s="117">
        <f>ROUND(H27*0.4*10/10000,2)</f>
        <v>0</v>
      </c>
      <c r="L27" s="118">
        <v>25</v>
      </c>
      <c r="M27" s="118">
        <f t="shared" si="18"/>
        <v>25</v>
      </c>
      <c r="N27" s="41">
        <f t="shared" si="19"/>
        <v>0</v>
      </c>
      <c r="O27" s="117">
        <f t="shared" si="20"/>
        <v>0</v>
      </c>
      <c r="P27" s="117">
        <f t="shared" si="21"/>
        <v>0</v>
      </c>
      <c r="Q27" s="117">
        <f t="shared" si="22"/>
        <v>0</v>
      </c>
    </row>
    <row r="28" s="1" customFormat="1" ht="18" customHeight="1" spans="1:17">
      <c r="A28" s="10">
        <v>440781</v>
      </c>
      <c r="B28" s="10" t="s">
        <v>69</v>
      </c>
      <c r="C28" s="120">
        <v>0.65</v>
      </c>
      <c r="D28" s="10" t="s">
        <v>71</v>
      </c>
      <c r="E28" s="46">
        <v>648417</v>
      </c>
      <c r="F28" s="46">
        <v>33006</v>
      </c>
      <c r="G28" s="110">
        <f t="shared" si="23"/>
        <v>420886</v>
      </c>
      <c r="H28" s="110">
        <f t="shared" si="24"/>
        <v>37880</v>
      </c>
      <c r="I28" s="115">
        <f t="shared" si="17"/>
        <v>841.77</v>
      </c>
      <c r="J28" s="116">
        <f t="shared" si="25"/>
        <v>265.16</v>
      </c>
      <c r="K28" s="117">
        <f t="shared" si="26"/>
        <v>28.35</v>
      </c>
      <c r="L28" s="118">
        <v>60</v>
      </c>
      <c r="M28" s="118">
        <f t="shared" si="18"/>
        <v>1195.28</v>
      </c>
      <c r="N28" s="41">
        <f t="shared" si="19"/>
        <v>841.77</v>
      </c>
      <c r="O28" s="117">
        <f t="shared" si="20"/>
        <v>120.25</v>
      </c>
      <c r="P28" s="117">
        <f t="shared" si="21"/>
        <v>240.51</v>
      </c>
      <c r="Q28" s="117">
        <f t="shared" si="22"/>
        <v>481.01</v>
      </c>
    </row>
    <row r="29" s="1" customFormat="1" ht="18" customHeight="1" spans="1:17">
      <c r="A29" s="10">
        <v>440783</v>
      </c>
      <c r="B29" s="10" t="s">
        <v>69</v>
      </c>
      <c r="C29" s="120">
        <v>0.65</v>
      </c>
      <c r="D29" s="10" t="s">
        <v>72</v>
      </c>
      <c r="E29" s="46">
        <v>521740</v>
      </c>
      <c r="F29" s="46">
        <v>48264</v>
      </c>
      <c r="G29" s="110">
        <f t="shared" si="23"/>
        <v>316954</v>
      </c>
      <c r="H29" s="110">
        <f t="shared" si="24"/>
        <v>28526</v>
      </c>
      <c r="I29" s="115">
        <f t="shared" si="17"/>
        <v>633.91</v>
      </c>
      <c r="J29" s="116">
        <f t="shared" si="25"/>
        <v>199.68</v>
      </c>
      <c r="K29" s="117">
        <f t="shared" si="26"/>
        <v>30.72</v>
      </c>
      <c r="L29" s="118">
        <v>60</v>
      </c>
      <c r="M29" s="118">
        <f t="shared" si="18"/>
        <v>924.31</v>
      </c>
      <c r="N29" s="41">
        <f t="shared" si="19"/>
        <v>633.91</v>
      </c>
      <c r="O29" s="117">
        <f t="shared" si="20"/>
        <v>90.56</v>
      </c>
      <c r="P29" s="117">
        <f t="shared" si="21"/>
        <v>181.12</v>
      </c>
      <c r="Q29" s="117">
        <f t="shared" si="22"/>
        <v>362.23</v>
      </c>
    </row>
    <row r="30" s="1" customFormat="1" ht="18" customHeight="1" spans="1:17">
      <c r="A30" s="10">
        <v>440784</v>
      </c>
      <c r="B30" s="10" t="s">
        <v>69</v>
      </c>
      <c r="C30" s="120">
        <v>0.65</v>
      </c>
      <c r="D30" s="10" t="s">
        <v>73</v>
      </c>
      <c r="E30" s="46">
        <v>391945</v>
      </c>
      <c r="F30" s="46">
        <v>22155</v>
      </c>
      <c r="G30" s="110">
        <f t="shared" si="23"/>
        <v>252207</v>
      </c>
      <c r="H30" s="110">
        <f t="shared" si="24"/>
        <v>22699</v>
      </c>
      <c r="I30" s="115">
        <f t="shared" si="17"/>
        <v>504.41</v>
      </c>
      <c r="J30" s="116">
        <f t="shared" si="25"/>
        <v>158.89</v>
      </c>
      <c r="K30" s="117">
        <f t="shared" si="26"/>
        <v>17.94</v>
      </c>
      <c r="L30" s="118">
        <v>60</v>
      </c>
      <c r="M30" s="118">
        <f t="shared" si="18"/>
        <v>741.24</v>
      </c>
      <c r="N30" s="41">
        <f t="shared" si="19"/>
        <v>504.41</v>
      </c>
      <c r="O30" s="117">
        <f t="shared" si="20"/>
        <v>72.06</v>
      </c>
      <c r="P30" s="117">
        <f t="shared" si="21"/>
        <v>144.12</v>
      </c>
      <c r="Q30" s="117">
        <f t="shared" si="22"/>
        <v>288.23</v>
      </c>
    </row>
    <row r="31" s="1" customFormat="1" ht="18" customHeight="1" spans="1:17">
      <c r="A31" s="10">
        <v>440785</v>
      </c>
      <c r="B31" s="10" t="s">
        <v>69</v>
      </c>
      <c r="C31" s="120">
        <v>0.65</v>
      </c>
      <c r="D31" s="10" t="s">
        <v>74</v>
      </c>
      <c r="E31" s="46">
        <v>347983</v>
      </c>
      <c r="F31" s="46">
        <v>32089</v>
      </c>
      <c r="G31" s="110">
        <f t="shared" si="23"/>
        <v>211499</v>
      </c>
      <c r="H31" s="110">
        <f t="shared" si="24"/>
        <v>19035</v>
      </c>
      <c r="I31" s="115">
        <f t="shared" si="17"/>
        <v>423</v>
      </c>
      <c r="J31" s="116">
        <f t="shared" si="25"/>
        <v>133.24</v>
      </c>
      <c r="K31" s="117">
        <f t="shared" si="26"/>
        <v>20.45</v>
      </c>
      <c r="L31" s="118">
        <v>60</v>
      </c>
      <c r="M31" s="118">
        <f t="shared" si="18"/>
        <v>636.69</v>
      </c>
      <c r="N31" s="41">
        <f t="shared" si="19"/>
        <v>423</v>
      </c>
      <c r="O31" s="117">
        <f t="shared" si="20"/>
        <v>60.43</v>
      </c>
      <c r="P31" s="117">
        <f t="shared" si="21"/>
        <v>120.86</v>
      </c>
      <c r="Q31" s="117">
        <f t="shared" si="22"/>
        <v>241.71</v>
      </c>
    </row>
    <row r="32" s="4" customFormat="1" ht="18" customHeight="1" spans="1:17">
      <c r="A32" s="22">
        <v>440800</v>
      </c>
      <c r="B32" s="22" t="s">
        <v>75</v>
      </c>
      <c r="C32" s="107"/>
      <c r="D32" s="23" t="s">
        <v>76</v>
      </c>
      <c r="E32" s="108">
        <f t="shared" ref="E32:Q32" si="28">SUM(E33:E38)</f>
        <v>3079356</v>
      </c>
      <c r="F32" s="108">
        <f t="shared" si="28"/>
        <v>135836</v>
      </c>
      <c r="G32" s="108">
        <f t="shared" si="28"/>
        <v>2019713</v>
      </c>
      <c r="H32" s="108">
        <f t="shared" si="28"/>
        <v>181774</v>
      </c>
      <c r="I32" s="114">
        <f t="shared" si="28"/>
        <v>4039.42</v>
      </c>
      <c r="J32" s="107">
        <f t="shared" si="28"/>
        <v>1272.43</v>
      </c>
      <c r="K32" s="114">
        <f t="shared" si="28"/>
        <v>127.04</v>
      </c>
      <c r="L32" s="114">
        <f t="shared" si="28"/>
        <v>325</v>
      </c>
      <c r="M32" s="114">
        <f t="shared" si="28"/>
        <v>5763.89</v>
      </c>
      <c r="N32" s="114">
        <f t="shared" si="28"/>
        <v>4039.42</v>
      </c>
      <c r="O32" s="114">
        <f t="shared" si="28"/>
        <v>577.06</v>
      </c>
      <c r="P32" s="114">
        <f t="shared" si="28"/>
        <v>1154.13</v>
      </c>
      <c r="Q32" s="114">
        <f t="shared" si="28"/>
        <v>2308.23</v>
      </c>
    </row>
    <row r="33" s="4" customFormat="1" ht="18" customHeight="1" spans="1:17">
      <c r="A33" s="22"/>
      <c r="B33" s="22"/>
      <c r="C33" s="120">
        <v>0.85</v>
      </c>
      <c r="D33" s="10" t="s">
        <v>58</v>
      </c>
      <c r="E33" s="108"/>
      <c r="F33" s="108"/>
      <c r="G33" s="108"/>
      <c r="H33" s="108"/>
      <c r="I33" s="115">
        <f t="shared" ref="I33:I38" si="29">ROUND(G33*20/10000,2)</f>
        <v>0</v>
      </c>
      <c r="J33" s="107">
        <v>0</v>
      </c>
      <c r="K33" s="117">
        <f>ROUND(H33*0.4*10/10000,2)</f>
        <v>0</v>
      </c>
      <c r="L33" s="118">
        <v>25</v>
      </c>
      <c r="M33" s="118">
        <f t="shared" ref="M33:M38" si="30">SUM(I33:L33)</f>
        <v>25</v>
      </c>
      <c r="N33" s="41">
        <f t="shared" ref="N33:N38" si="31">I33</f>
        <v>0</v>
      </c>
      <c r="O33" s="117">
        <f t="shared" ref="O33:O38" si="32">ROUND((E33-F33/0.7)*0.1*0.002,2)</f>
        <v>0</v>
      </c>
      <c r="P33" s="117">
        <f t="shared" ref="P33:P38" si="33">ROUND((E33-F33/0.7)*0.2*0.002,2)</f>
        <v>0</v>
      </c>
      <c r="Q33" s="117">
        <f t="shared" ref="Q33:Q38" si="34">N33-O33-P33</f>
        <v>0</v>
      </c>
    </row>
    <row r="34" s="1" customFormat="1" ht="18" customHeight="1" spans="1:17">
      <c r="A34" s="10">
        <v>440823</v>
      </c>
      <c r="B34" s="10" t="s">
        <v>75</v>
      </c>
      <c r="C34" s="120">
        <v>0.85</v>
      </c>
      <c r="D34" s="10" t="s">
        <v>77</v>
      </c>
      <c r="E34" s="46">
        <v>497405</v>
      </c>
      <c r="F34" s="46">
        <v>18499</v>
      </c>
      <c r="G34" s="110">
        <f t="shared" ref="G34:G38" si="35">ROUND(E34*0.7-F34,0)</f>
        <v>329685</v>
      </c>
      <c r="H34" s="110">
        <f t="shared" ref="H34:H38" si="36">ROUND(G34*0.09,0)</f>
        <v>29672</v>
      </c>
      <c r="I34" s="115">
        <f t="shared" si="29"/>
        <v>659.37</v>
      </c>
      <c r="J34" s="116">
        <f t="shared" ref="J34:J38" si="37">ROUND(G34*0.5*0.6*21/10000,2)</f>
        <v>207.7</v>
      </c>
      <c r="K34" s="117">
        <f t="shared" ref="K34:K38" si="38">ROUND((H34+F34)*0.4*10/10000,2)</f>
        <v>19.27</v>
      </c>
      <c r="L34" s="118">
        <v>60</v>
      </c>
      <c r="M34" s="118">
        <f t="shared" si="30"/>
        <v>946.34</v>
      </c>
      <c r="N34" s="41">
        <f t="shared" si="31"/>
        <v>659.37</v>
      </c>
      <c r="O34" s="117">
        <f t="shared" si="32"/>
        <v>94.2</v>
      </c>
      <c r="P34" s="117">
        <f t="shared" si="33"/>
        <v>188.39</v>
      </c>
      <c r="Q34" s="117">
        <f t="shared" si="34"/>
        <v>376.78</v>
      </c>
    </row>
    <row r="35" s="1" customFormat="1" ht="18" customHeight="1" spans="1:17">
      <c r="A35" s="10">
        <v>440825</v>
      </c>
      <c r="B35" s="10" t="s">
        <v>75</v>
      </c>
      <c r="C35" s="120">
        <v>0.85</v>
      </c>
      <c r="D35" s="10" t="s">
        <v>78</v>
      </c>
      <c r="E35" s="46">
        <v>454269</v>
      </c>
      <c r="F35" s="46">
        <v>18583</v>
      </c>
      <c r="G35" s="110">
        <f t="shared" si="35"/>
        <v>299405</v>
      </c>
      <c r="H35" s="110">
        <f t="shared" si="36"/>
        <v>26946</v>
      </c>
      <c r="I35" s="115">
        <f t="shared" si="29"/>
        <v>598.81</v>
      </c>
      <c r="J35" s="116">
        <f t="shared" si="37"/>
        <v>188.63</v>
      </c>
      <c r="K35" s="117">
        <f t="shared" si="38"/>
        <v>18.21</v>
      </c>
      <c r="L35" s="118">
        <v>60</v>
      </c>
      <c r="M35" s="118">
        <f t="shared" si="30"/>
        <v>865.65</v>
      </c>
      <c r="N35" s="41">
        <f t="shared" si="31"/>
        <v>598.81</v>
      </c>
      <c r="O35" s="117">
        <f t="shared" si="32"/>
        <v>85.54</v>
      </c>
      <c r="P35" s="117">
        <f t="shared" si="33"/>
        <v>171.09</v>
      </c>
      <c r="Q35" s="117">
        <f t="shared" si="34"/>
        <v>342.18</v>
      </c>
    </row>
    <row r="36" s="1" customFormat="1" ht="18" customHeight="1" spans="1:17">
      <c r="A36" s="10">
        <v>440881</v>
      </c>
      <c r="B36" s="10" t="s">
        <v>75</v>
      </c>
      <c r="C36" s="120">
        <v>0.85</v>
      </c>
      <c r="D36" s="10" t="s">
        <v>79</v>
      </c>
      <c r="E36" s="46">
        <v>801879</v>
      </c>
      <c r="F36" s="46">
        <v>28973</v>
      </c>
      <c r="G36" s="110">
        <f t="shared" si="35"/>
        <v>532342</v>
      </c>
      <c r="H36" s="110">
        <f t="shared" si="36"/>
        <v>47911</v>
      </c>
      <c r="I36" s="115">
        <f t="shared" si="29"/>
        <v>1064.68</v>
      </c>
      <c r="J36" s="116">
        <f t="shared" si="37"/>
        <v>335.38</v>
      </c>
      <c r="K36" s="117">
        <f t="shared" si="38"/>
        <v>30.75</v>
      </c>
      <c r="L36" s="118">
        <v>60</v>
      </c>
      <c r="M36" s="118">
        <f t="shared" si="30"/>
        <v>1490.81</v>
      </c>
      <c r="N36" s="41">
        <f t="shared" si="31"/>
        <v>1064.68</v>
      </c>
      <c r="O36" s="117">
        <f t="shared" si="32"/>
        <v>152.1</v>
      </c>
      <c r="P36" s="117">
        <f t="shared" si="33"/>
        <v>304.2</v>
      </c>
      <c r="Q36" s="117">
        <f t="shared" si="34"/>
        <v>608.38</v>
      </c>
    </row>
    <row r="37" s="1" customFormat="1" ht="18" customHeight="1" spans="1:17">
      <c r="A37" s="10">
        <v>440882</v>
      </c>
      <c r="B37" s="10" t="s">
        <v>75</v>
      </c>
      <c r="C37" s="120">
        <v>0.85</v>
      </c>
      <c r="D37" s="10" t="s">
        <v>80</v>
      </c>
      <c r="E37" s="46">
        <v>775857</v>
      </c>
      <c r="F37" s="46">
        <v>16123</v>
      </c>
      <c r="G37" s="110">
        <f t="shared" si="35"/>
        <v>526977</v>
      </c>
      <c r="H37" s="110">
        <f t="shared" si="36"/>
        <v>47428</v>
      </c>
      <c r="I37" s="115">
        <f t="shared" si="29"/>
        <v>1053.95</v>
      </c>
      <c r="J37" s="116">
        <f t="shared" si="37"/>
        <v>332</v>
      </c>
      <c r="K37" s="117">
        <f t="shared" si="38"/>
        <v>25.42</v>
      </c>
      <c r="L37" s="118">
        <v>60</v>
      </c>
      <c r="M37" s="118">
        <f t="shared" si="30"/>
        <v>1471.37</v>
      </c>
      <c r="N37" s="41">
        <f t="shared" si="31"/>
        <v>1053.95</v>
      </c>
      <c r="O37" s="117">
        <f t="shared" si="32"/>
        <v>150.56</v>
      </c>
      <c r="P37" s="117">
        <f t="shared" si="33"/>
        <v>301.13</v>
      </c>
      <c r="Q37" s="117">
        <f t="shared" si="34"/>
        <v>602.26</v>
      </c>
    </row>
    <row r="38" s="1" customFormat="1" ht="18" customHeight="1" spans="1:17">
      <c r="A38" s="10">
        <v>440883</v>
      </c>
      <c r="B38" s="10" t="s">
        <v>75</v>
      </c>
      <c r="C38" s="120">
        <v>0.85</v>
      </c>
      <c r="D38" s="10" t="s">
        <v>81</v>
      </c>
      <c r="E38" s="46">
        <v>549946</v>
      </c>
      <c r="F38" s="46">
        <v>53658</v>
      </c>
      <c r="G38" s="110">
        <f t="shared" si="35"/>
        <v>331304</v>
      </c>
      <c r="H38" s="110">
        <f t="shared" si="36"/>
        <v>29817</v>
      </c>
      <c r="I38" s="115">
        <f t="shared" si="29"/>
        <v>662.61</v>
      </c>
      <c r="J38" s="116">
        <f t="shared" si="37"/>
        <v>208.72</v>
      </c>
      <c r="K38" s="117">
        <f t="shared" si="38"/>
        <v>33.39</v>
      </c>
      <c r="L38" s="118">
        <v>60</v>
      </c>
      <c r="M38" s="118">
        <f t="shared" si="30"/>
        <v>964.72</v>
      </c>
      <c r="N38" s="41">
        <f t="shared" si="31"/>
        <v>662.61</v>
      </c>
      <c r="O38" s="117">
        <f t="shared" si="32"/>
        <v>94.66</v>
      </c>
      <c r="P38" s="117">
        <f t="shared" si="33"/>
        <v>189.32</v>
      </c>
      <c r="Q38" s="117">
        <f t="shared" si="34"/>
        <v>378.63</v>
      </c>
    </row>
    <row r="39" s="4" customFormat="1" ht="18" customHeight="1" spans="1:17">
      <c r="A39" s="22">
        <v>440900</v>
      </c>
      <c r="B39" s="22" t="s">
        <v>82</v>
      </c>
      <c r="C39" s="107"/>
      <c r="D39" s="23" t="s">
        <v>83</v>
      </c>
      <c r="E39" s="108">
        <f t="shared" ref="E39:Q39" si="39">SUM(E40:E43)</f>
        <v>1860263</v>
      </c>
      <c r="F39" s="108">
        <f t="shared" si="39"/>
        <v>80589</v>
      </c>
      <c r="G39" s="108">
        <f t="shared" si="39"/>
        <v>1121595</v>
      </c>
      <c r="H39" s="108">
        <f t="shared" si="39"/>
        <v>100943</v>
      </c>
      <c r="I39" s="114">
        <f t="shared" si="39"/>
        <v>2243.2</v>
      </c>
      <c r="J39" s="107">
        <f t="shared" si="39"/>
        <v>706.61</v>
      </c>
      <c r="K39" s="114">
        <f t="shared" si="39"/>
        <v>72.62</v>
      </c>
      <c r="L39" s="114">
        <f t="shared" si="39"/>
        <v>205</v>
      </c>
      <c r="M39" s="114">
        <f t="shared" si="39"/>
        <v>3227.43</v>
      </c>
      <c r="N39" s="114">
        <f t="shared" si="39"/>
        <v>2243.2</v>
      </c>
      <c r="O39" s="114">
        <f t="shared" si="39"/>
        <v>349.03</v>
      </c>
      <c r="P39" s="114">
        <f t="shared" si="39"/>
        <v>698.06</v>
      </c>
      <c r="Q39" s="114">
        <f t="shared" si="39"/>
        <v>1196.11</v>
      </c>
    </row>
    <row r="40" s="4" customFormat="1" ht="18" customHeight="1" spans="1:17">
      <c r="A40" s="22"/>
      <c r="B40" s="22"/>
      <c r="C40" s="120">
        <v>0.85</v>
      </c>
      <c r="D40" s="10" t="s">
        <v>58</v>
      </c>
      <c r="E40" s="108"/>
      <c r="F40" s="108"/>
      <c r="G40" s="108"/>
      <c r="H40" s="108"/>
      <c r="I40" s="115">
        <f t="shared" ref="I40:I43" si="40">ROUND(G40*20/10000,2)</f>
        <v>0</v>
      </c>
      <c r="J40" s="107">
        <v>0</v>
      </c>
      <c r="K40" s="117">
        <f>ROUND(H40*0.4*10/10000,2)</f>
        <v>0</v>
      </c>
      <c r="L40" s="118">
        <v>25</v>
      </c>
      <c r="M40" s="118">
        <f t="shared" ref="M40:M43" si="41">SUM(I40:L40)</f>
        <v>25</v>
      </c>
      <c r="N40" s="41">
        <f t="shared" ref="N40:N43" si="42">I40</f>
        <v>0</v>
      </c>
      <c r="O40" s="117">
        <f t="shared" ref="O40:O43" si="43">ROUND((E40-F40/0.7)*0.1*0.002,2)</f>
        <v>0</v>
      </c>
      <c r="P40" s="117">
        <f t="shared" ref="P40:P43" si="44">ROUND((E40-F40/0.7)*0.2*0.002,2)</f>
        <v>0</v>
      </c>
      <c r="Q40" s="117">
        <f t="shared" ref="Q40:Q43" si="45">N40-O40-P40</f>
        <v>0</v>
      </c>
    </row>
    <row r="41" s="1" customFormat="1" ht="18" customHeight="1" spans="1:17">
      <c r="A41" s="10">
        <v>440981</v>
      </c>
      <c r="B41" s="10" t="s">
        <v>82</v>
      </c>
      <c r="C41" s="120">
        <v>0.85</v>
      </c>
      <c r="D41" s="10" t="s">
        <v>84</v>
      </c>
      <c r="E41" s="46">
        <v>712309</v>
      </c>
      <c r="F41" s="46">
        <v>35048</v>
      </c>
      <c r="G41" s="110">
        <f t="shared" ref="G41:G50" si="46">ROUND(E41*0.7-F41,0)</f>
        <v>463568</v>
      </c>
      <c r="H41" s="110">
        <f t="shared" ref="H41:H43" si="47">ROUND(G41*0.09,0)</f>
        <v>41721</v>
      </c>
      <c r="I41" s="115">
        <f t="shared" si="40"/>
        <v>927.14</v>
      </c>
      <c r="J41" s="116">
        <f t="shared" ref="J41:J43" si="48">ROUND(G41*0.5*0.6*21/10000,2)</f>
        <v>292.05</v>
      </c>
      <c r="K41" s="117">
        <f t="shared" ref="K41:K43" si="49">ROUND((H41+F41)*0.4*10/10000,2)</f>
        <v>30.71</v>
      </c>
      <c r="L41" s="118">
        <v>60</v>
      </c>
      <c r="M41" s="118">
        <f t="shared" si="41"/>
        <v>1309.9</v>
      </c>
      <c r="N41" s="41">
        <f t="shared" si="42"/>
        <v>927.14</v>
      </c>
      <c r="O41" s="117">
        <f t="shared" si="43"/>
        <v>132.45</v>
      </c>
      <c r="P41" s="117">
        <f t="shared" si="44"/>
        <v>264.9</v>
      </c>
      <c r="Q41" s="117">
        <f t="shared" si="45"/>
        <v>529.79</v>
      </c>
    </row>
    <row r="42" s="1" customFormat="1" ht="18" customHeight="1" spans="1:17">
      <c r="A42" s="10">
        <v>440982</v>
      </c>
      <c r="B42" s="10" t="s">
        <v>82</v>
      </c>
      <c r="C42" s="120">
        <v>0.85</v>
      </c>
      <c r="D42" s="10" t="s">
        <v>85</v>
      </c>
      <c r="E42" s="46">
        <v>614131</v>
      </c>
      <c r="F42" s="46">
        <v>19558</v>
      </c>
      <c r="G42" s="123">
        <f>ROUND(E42*0.7-100000-F42,0)</f>
        <v>310334</v>
      </c>
      <c r="H42" s="110">
        <f t="shared" si="47"/>
        <v>27930</v>
      </c>
      <c r="I42" s="115">
        <f t="shared" si="40"/>
        <v>620.67</v>
      </c>
      <c r="J42" s="116">
        <f t="shared" si="48"/>
        <v>195.51</v>
      </c>
      <c r="K42" s="117">
        <f t="shared" si="49"/>
        <v>19</v>
      </c>
      <c r="L42" s="118">
        <v>60</v>
      </c>
      <c r="M42" s="118">
        <f t="shared" si="41"/>
        <v>895.18</v>
      </c>
      <c r="N42" s="41">
        <f t="shared" si="42"/>
        <v>620.67</v>
      </c>
      <c r="O42" s="117">
        <f t="shared" si="43"/>
        <v>117.24</v>
      </c>
      <c r="P42" s="117">
        <f t="shared" si="44"/>
        <v>234.48</v>
      </c>
      <c r="Q42" s="117">
        <f t="shared" si="45"/>
        <v>268.95</v>
      </c>
    </row>
    <row r="43" s="1" customFormat="1" ht="18" customHeight="1" spans="1:17">
      <c r="A43" s="10">
        <v>440983</v>
      </c>
      <c r="B43" s="10" t="s">
        <v>82</v>
      </c>
      <c r="C43" s="120">
        <v>0.85</v>
      </c>
      <c r="D43" s="10" t="s">
        <v>86</v>
      </c>
      <c r="E43" s="46">
        <v>533823</v>
      </c>
      <c r="F43" s="46">
        <v>25983</v>
      </c>
      <c r="G43" s="110">
        <f t="shared" si="46"/>
        <v>347693</v>
      </c>
      <c r="H43" s="110">
        <f t="shared" si="47"/>
        <v>31292</v>
      </c>
      <c r="I43" s="115">
        <f t="shared" si="40"/>
        <v>695.39</v>
      </c>
      <c r="J43" s="116">
        <f t="shared" si="48"/>
        <v>219.05</v>
      </c>
      <c r="K43" s="117">
        <f t="shared" si="49"/>
        <v>22.91</v>
      </c>
      <c r="L43" s="118">
        <v>60</v>
      </c>
      <c r="M43" s="118">
        <f t="shared" si="41"/>
        <v>997.35</v>
      </c>
      <c r="N43" s="41">
        <f t="shared" si="42"/>
        <v>695.39</v>
      </c>
      <c r="O43" s="117">
        <f t="shared" si="43"/>
        <v>99.34</v>
      </c>
      <c r="P43" s="117">
        <f t="shared" si="44"/>
        <v>198.68</v>
      </c>
      <c r="Q43" s="117">
        <f t="shared" si="45"/>
        <v>397.37</v>
      </c>
    </row>
    <row r="44" s="4" customFormat="1" ht="18" customHeight="1" spans="1:17">
      <c r="A44" s="22">
        <v>441200</v>
      </c>
      <c r="B44" s="22" t="s">
        <v>87</v>
      </c>
      <c r="C44" s="107"/>
      <c r="D44" s="23" t="s">
        <v>88</v>
      </c>
      <c r="E44" s="108">
        <f t="shared" ref="E44:Q44" si="50">SUM(E45:E50)</f>
        <v>1384019</v>
      </c>
      <c r="F44" s="108">
        <f t="shared" si="50"/>
        <v>71147</v>
      </c>
      <c r="G44" s="108">
        <f t="shared" si="50"/>
        <v>897667</v>
      </c>
      <c r="H44" s="108">
        <f t="shared" si="50"/>
        <v>80790</v>
      </c>
      <c r="I44" s="114">
        <f t="shared" si="50"/>
        <v>1795.32</v>
      </c>
      <c r="J44" s="107">
        <f t="shared" si="50"/>
        <v>565.54</v>
      </c>
      <c r="K44" s="114">
        <f t="shared" si="50"/>
        <v>60.77</v>
      </c>
      <c r="L44" s="114">
        <f t="shared" si="50"/>
        <v>325</v>
      </c>
      <c r="M44" s="114">
        <f t="shared" si="50"/>
        <v>2746.63</v>
      </c>
      <c r="N44" s="114">
        <f t="shared" si="50"/>
        <v>1795.32</v>
      </c>
      <c r="O44" s="114">
        <f t="shared" si="50"/>
        <v>256.48</v>
      </c>
      <c r="P44" s="114">
        <f t="shared" si="50"/>
        <v>512.95</v>
      </c>
      <c r="Q44" s="114">
        <f t="shared" si="50"/>
        <v>1025.89</v>
      </c>
    </row>
    <row r="45" s="4" customFormat="1" ht="18" customHeight="1" spans="1:17">
      <c r="A45" s="22"/>
      <c r="B45" s="22"/>
      <c r="C45" s="120">
        <v>0.65</v>
      </c>
      <c r="D45" s="10" t="s">
        <v>58</v>
      </c>
      <c r="E45" s="108"/>
      <c r="F45" s="108"/>
      <c r="G45" s="108"/>
      <c r="H45" s="108"/>
      <c r="I45" s="115">
        <f t="shared" ref="I45:I50" si="51">ROUND(G45*20/10000,2)</f>
        <v>0</v>
      </c>
      <c r="J45" s="107">
        <v>0</v>
      </c>
      <c r="K45" s="117">
        <f>ROUND(H45*0.4*10/10000,2)</f>
        <v>0</v>
      </c>
      <c r="L45" s="118">
        <v>25</v>
      </c>
      <c r="M45" s="118">
        <f t="shared" ref="M45:M50" si="52">SUM(I45:L45)</f>
        <v>25</v>
      </c>
      <c r="N45" s="41">
        <f t="shared" ref="N45:N50" si="53">I45</f>
        <v>0</v>
      </c>
      <c r="O45" s="117">
        <f t="shared" ref="O45:O50" si="54">ROUND((E45-F45/0.7)*0.1*0.002,2)</f>
        <v>0</v>
      </c>
      <c r="P45" s="117">
        <f t="shared" ref="P45:P50" si="55">ROUND((E45-F45/0.7)*0.2*0.002,2)</f>
        <v>0</v>
      </c>
      <c r="Q45" s="117">
        <f t="shared" ref="Q45:Q50" si="56">N45-O45-P45</f>
        <v>0</v>
      </c>
    </row>
    <row r="46" s="1" customFormat="1" ht="18" customHeight="1" spans="1:17">
      <c r="A46" s="10">
        <v>441223</v>
      </c>
      <c r="B46" s="10" t="s">
        <v>87</v>
      </c>
      <c r="C46" s="120">
        <v>0.85</v>
      </c>
      <c r="D46" s="10" t="s">
        <v>89</v>
      </c>
      <c r="E46" s="46">
        <v>254266</v>
      </c>
      <c r="F46" s="46">
        <v>14149</v>
      </c>
      <c r="G46" s="110">
        <f t="shared" si="46"/>
        <v>163837</v>
      </c>
      <c r="H46" s="110">
        <f t="shared" ref="H46:H50" si="57">ROUND(G46*0.09,0)</f>
        <v>14745</v>
      </c>
      <c r="I46" s="115">
        <f t="shared" si="51"/>
        <v>327.67</v>
      </c>
      <c r="J46" s="116">
        <f t="shared" ref="J46:J50" si="58">ROUND(G46*0.5*0.6*21/10000,2)</f>
        <v>103.22</v>
      </c>
      <c r="K46" s="117">
        <f t="shared" ref="K46:K50" si="59">ROUND((H46+F46)*0.4*10/10000,2)</f>
        <v>11.56</v>
      </c>
      <c r="L46" s="118">
        <v>60</v>
      </c>
      <c r="M46" s="118">
        <f t="shared" si="52"/>
        <v>502.45</v>
      </c>
      <c r="N46" s="41">
        <f t="shared" si="53"/>
        <v>327.67</v>
      </c>
      <c r="O46" s="117">
        <f t="shared" si="54"/>
        <v>46.81</v>
      </c>
      <c r="P46" s="117">
        <f t="shared" si="55"/>
        <v>93.62</v>
      </c>
      <c r="Q46" s="117">
        <f t="shared" si="56"/>
        <v>187.24</v>
      </c>
    </row>
    <row r="47" s="1" customFormat="1" ht="18" customHeight="1" spans="1:17">
      <c r="A47" s="10">
        <v>441224</v>
      </c>
      <c r="B47" s="10" t="s">
        <v>87</v>
      </c>
      <c r="C47" s="120">
        <v>0.85</v>
      </c>
      <c r="D47" s="10" t="s">
        <v>90</v>
      </c>
      <c r="E47" s="46">
        <v>386138</v>
      </c>
      <c r="F47" s="46">
        <v>23002</v>
      </c>
      <c r="G47" s="110">
        <f t="shared" si="46"/>
        <v>247295</v>
      </c>
      <c r="H47" s="110">
        <f t="shared" si="57"/>
        <v>22257</v>
      </c>
      <c r="I47" s="115">
        <f t="shared" si="51"/>
        <v>494.59</v>
      </c>
      <c r="J47" s="116">
        <f t="shared" si="58"/>
        <v>155.8</v>
      </c>
      <c r="K47" s="117">
        <f t="shared" si="59"/>
        <v>18.1</v>
      </c>
      <c r="L47" s="118">
        <v>60</v>
      </c>
      <c r="M47" s="118">
        <f t="shared" si="52"/>
        <v>728.49</v>
      </c>
      <c r="N47" s="41">
        <f t="shared" si="53"/>
        <v>494.59</v>
      </c>
      <c r="O47" s="117">
        <f t="shared" si="54"/>
        <v>70.66</v>
      </c>
      <c r="P47" s="117">
        <f t="shared" si="55"/>
        <v>141.31</v>
      </c>
      <c r="Q47" s="117">
        <f t="shared" si="56"/>
        <v>282.62</v>
      </c>
    </row>
    <row r="48" s="1" customFormat="1" ht="18" customHeight="1" spans="1:17">
      <c r="A48" s="10">
        <v>441225</v>
      </c>
      <c r="B48" s="10" t="s">
        <v>87</v>
      </c>
      <c r="C48" s="120">
        <v>0.85</v>
      </c>
      <c r="D48" s="10" t="s">
        <v>91</v>
      </c>
      <c r="E48" s="46">
        <v>196861</v>
      </c>
      <c r="F48" s="46">
        <v>14286</v>
      </c>
      <c r="G48" s="110">
        <f t="shared" si="46"/>
        <v>123517</v>
      </c>
      <c r="H48" s="110">
        <f t="shared" si="57"/>
        <v>11117</v>
      </c>
      <c r="I48" s="115">
        <f t="shared" si="51"/>
        <v>247.03</v>
      </c>
      <c r="J48" s="116">
        <f t="shared" si="58"/>
        <v>77.82</v>
      </c>
      <c r="K48" s="117">
        <f t="shared" si="59"/>
        <v>10.16</v>
      </c>
      <c r="L48" s="118">
        <v>60</v>
      </c>
      <c r="M48" s="118">
        <f t="shared" si="52"/>
        <v>395.01</v>
      </c>
      <c r="N48" s="41">
        <f t="shared" si="53"/>
        <v>247.03</v>
      </c>
      <c r="O48" s="117">
        <f t="shared" si="54"/>
        <v>35.29</v>
      </c>
      <c r="P48" s="117">
        <f t="shared" si="55"/>
        <v>70.58</v>
      </c>
      <c r="Q48" s="117">
        <f t="shared" si="56"/>
        <v>141.16</v>
      </c>
    </row>
    <row r="49" s="1" customFormat="1" ht="18" customHeight="1" spans="1:17">
      <c r="A49" s="10">
        <v>441226</v>
      </c>
      <c r="B49" s="10" t="s">
        <v>87</v>
      </c>
      <c r="C49" s="120">
        <v>0.85</v>
      </c>
      <c r="D49" s="10" t="s">
        <v>92</v>
      </c>
      <c r="E49" s="46">
        <v>207985</v>
      </c>
      <c r="F49" s="46">
        <v>6944</v>
      </c>
      <c r="G49" s="110">
        <f t="shared" si="46"/>
        <v>138646</v>
      </c>
      <c r="H49" s="110">
        <f t="shared" si="57"/>
        <v>12478</v>
      </c>
      <c r="I49" s="115">
        <f t="shared" si="51"/>
        <v>277.29</v>
      </c>
      <c r="J49" s="116">
        <f t="shared" si="58"/>
        <v>87.35</v>
      </c>
      <c r="K49" s="117">
        <f t="shared" si="59"/>
        <v>7.77</v>
      </c>
      <c r="L49" s="118">
        <v>60</v>
      </c>
      <c r="M49" s="118">
        <f t="shared" si="52"/>
        <v>432.41</v>
      </c>
      <c r="N49" s="41">
        <f t="shared" si="53"/>
        <v>277.29</v>
      </c>
      <c r="O49" s="117">
        <f t="shared" si="54"/>
        <v>39.61</v>
      </c>
      <c r="P49" s="117">
        <f t="shared" si="55"/>
        <v>79.23</v>
      </c>
      <c r="Q49" s="117">
        <f t="shared" si="56"/>
        <v>158.45</v>
      </c>
    </row>
    <row r="50" s="1" customFormat="1" ht="18" customHeight="1" spans="1:17">
      <c r="A50" s="10">
        <v>441284</v>
      </c>
      <c r="B50" s="10" t="s">
        <v>87</v>
      </c>
      <c r="C50" s="120">
        <v>0.65</v>
      </c>
      <c r="D50" s="10" t="s">
        <v>93</v>
      </c>
      <c r="E50" s="46">
        <v>338769</v>
      </c>
      <c r="F50" s="46">
        <v>12766</v>
      </c>
      <c r="G50" s="110">
        <f t="shared" si="46"/>
        <v>224372</v>
      </c>
      <c r="H50" s="110">
        <f t="shared" si="57"/>
        <v>20193</v>
      </c>
      <c r="I50" s="115">
        <f t="shared" si="51"/>
        <v>448.74</v>
      </c>
      <c r="J50" s="116">
        <f t="shared" si="58"/>
        <v>141.35</v>
      </c>
      <c r="K50" s="117">
        <f t="shared" si="59"/>
        <v>13.18</v>
      </c>
      <c r="L50" s="118">
        <v>60</v>
      </c>
      <c r="M50" s="118">
        <f t="shared" si="52"/>
        <v>663.27</v>
      </c>
      <c r="N50" s="41">
        <f t="shared" si="53"/>
        <v>448.74</v>
      </c>
      <c r="O50" s="117">
        <f t="shared" si="54"/>
        <v>64.11</v>
      </c>
      <c r="P50" s="117">
        <f t="shared" si="55"/>
        <v>128.21</v>
      </c>
      <c r="Q50" s="117">
        <f t="shared" si="56"/>
        <v>256.42</v>
      </c>
    </row>
    <row r="51" s="4" customFormat="1" ht="18" customHeight="1" spans="1:17">
      <c r="A51" s="22">
        <v>441300</v>
      </c>
      <c r="B51" s="22" t="s">
        <v>94</v>
      </c>
      <c r="C51" s="107"/>
      <c r="D51" s="23" t="s">
        <v>95</v>
      </c>
      <c r="E51" s="108">
        <f t="shared" ref="E51:Q51" si="60">SUM(E52:E55)</f>
        <v>1656785</v>
      </c>
      <c r="F51" s="108">
        <f t="shared" si="60"/>
        <v>45262</v>
      </c>
      <c r="G51" s="108">
        <f t="shared" si="60"/>
        <v>1114488</v>
      </c>
      <c r="H51" s="108">
        <f t="shared" si="60"/>
        <v>100303</v>
      </c>
      <c r="I51" s="114">
        <f t="shared" si="60"/>
        <v>2228.98</v>
      </c>
      <c r="J51" s="107">
        <f t="shared" si="60"/>
        <v>702.12</v>
      </c>
      <c r="K51" s="114">
        <f t="shared" si="60"/>
        <v>58.23</v>
      </c>
      <c r="L51" s="114">
        <f t="shared" si="60"/>
        <v>205</v>
      </c>
      <c r="M51" s="114">
        <f t="shared" si="60"/>
        <v>3194.33</v>
      </c>
      <c r="N51" s="114">
        <f t="shared" si="60"/>
        <v>2228.98</v>
      </c>
      <c r="O51" s="114">
        <f t="shared" si="60"/>
        <v>318.42</v>
      </c>
      <c r="P51" s="114">
        <f t="shared" si="60"/>
        <v>636.85</v>
      </c>
      <c r="Q51" s="114">
        <f t="shared" si="60"/>
        <v>1273.71</v>
      </c>
    </row>
    <row r="52" s="4" customFormat="1" ht="18" customHeight="1" spans="1:17">
      <c r="A52" s="22"/>
      <c r="B52" s="22"/>
      <c r="C52" s="120">
        <v>0.65</v>
      </c>
      <c r="D52" s="10" t="s">
        <v>58</v>
      </c>
      <c r="E52" s="108"/>
      <c r="F52" s="108"/>
      <c r="G52" s="108"/>
      <c r="H52" s="108"/>
      <c r="I52" s="115">
        <f t="shared" ref="I52:I55" si="61">ROUND(G52*20/10000,2)</f>
        <v>0</v>
      </c>
      <c r="J52" s="107">
        <v>0</v>
      </c>
      <c r="K52" s="117">
        <f>ROUND(H52*0.4*10/10000,2)</f>
        <v>0</v>
      </c>
      <c r="L52" s="118">
        <v>25</v>
      </c>
      <c r="M52" s="118">
        <f t="shared" ref="M52:M55" si="62">SUM(I52:L52)</f>
        <v>25</v>
      </c>
      <c r="N52" s="41">
        <f t="shared" ref="N52:N55" si="63">I52</f>
        <v>0</v>
      </c>
      <c r="O52" s="117">
        <f t="shared" ref="O52:O55" si="64">ROUND((E52-F52/0.7)*0.1*0.002,2)</f>
        <v>0</v>
      </c>
      <c r="P52" s="117">
        <f t="shared" ref="P52:P55" si="65">ROUND((E52-F52/0.7)*0.2*0.002,2)</f>
        <v>0</v>
      </c>
      <c r="Q52" s="117">
        <f t="shared" ref="Q52:Q55" si="66">N52-O52-P52</f>
        <v>0</v>
      </c>
    </row>
    <row r="53" s="1" customFormat="1" ht="18" customHeight="1" spans="1:17">
      <c r="A53" s="10">
        <v>441322</v>
      </c>
      <c r="B53" s="10" t="s">
        <v>94</v>
      </c>
      <c r="C53" s="120">
        <v>0.65</v>
      </c>
      <c r="D53" s="10" t="s">
        <v>96</v>
      </c>
      <c r="E53" s="46">
        <v>826100</v>
      </c>
      <c r="F53" s="46">
        <v>33822</v>
      </c>
      <c r="G53" s="110">
        <f t="shared" ref="G53:G55" si="67">ROUND(E53*0.7-F53,0)</f>
        <v>544448</v>
      </c>
      <c r="H53" s="110">
        <f t="shared" ref="H53:H55" si="68">ROUND(G53*0.09,0)</f>
        <v>49000</v>
      </c>
      <c r="I53" s="115">
        <f t="shared" si="61"/>
        <v>1088.9</v>
      </c>
      <c r="J53" s="116">
        <f t="shared" ref="J53:J55" si="69">ROUND(G53*0.5*0.6*21/10000,2)</f>
        <v>343</v>
      </c>
      <c r="K53" s="117">
        <f t="shared" ref="K53:K55" si="70">ROUND((H53+F53)*0.4*10/10000,2)</f>
        <v>33.13</v>
      </c>
      <c r="L53" s="118">
        <v>60</v>
      </c>
      <c r="M53" s="118">
        <f t="shared" si="62"/>
        <v>1525.03</v>
      </c>
      <c r="N53" s="41">
        <f t="shared" si="63"/>
        <v>1088.9</v>
      </c>
      <c r="O53" s="117">
        <f t="shared" si="64"/>
        <v>155.56</v>
      </c>
      <c r="P53" s="117">
        <f t="shared" si="65"/>
        <v>311.11</v>
      </c>
      <c r="Q53" s="117">
        <f t="shared" si="66"/>
        <v>622.23</v>
      </c>
    </row>
    <row r="54" s="1" customFormat="1" ht="18" customHeight="1" spans="1:17">
      <c r="A54" s="10">
        <v>441323</v>
      </c>
      <c r="B54" s="10" t="s">
        <v>94</v>
      </c>
      <c r="C54" s="120">
        <v>1</v>
      </c>
      <c r="D54" s="10" t="s">
        <v>97</v>
      </c>
      <c r="E54" s="46">
        <v>667221</v>
      </c>
      <c r="F54" s="46">
        <v>10117</v>
      </c>
      <c r="G54" s="110">
        <f t="shared" si="67"/>
        <v>456938</v>
      </c>
      <c r="H54" s="110">
        <f t="shared" si="68"/>
        <v>41124</v>
      </c>
      <c r="I54" s="115">
        <f t="shared" si="61"/>
        <v>913.88</v>
      </c>
      <c r="J54" s="116">
        <f t="shared" si="69"/>
        <v>287.87</v>
      </c>
      <c r="K54" s="117">
        <f t="shared" si="70"/>
        <v>20.5</v>
      </c>
      <c r="L54" s="118">
        <v>60</v>
      </c>
      <c r="M54" s="118">
        <f t="shared" si="62"/>
        <v>1282.25</v>
      </c>
      <c r="N54" s="41">
        <f t="shared" si="63"/>
        <v>913.88</v>
      </c>
      <c r="O54" s="117">
        <f t="shared" si="64"/>
        <v>130.55</v>
      </c>
      <c r="P54" s="117">
        <f t="shared" si="65"/>
        <v>261.11</v>
      </c>
      <c r="Q54" s="117">
        <f t="shared" si="66"/>
        <v>522.22</v>
      </c>
    </row>
    <row r="55" s="1" customFormat="1" ht="18" customHeight="1" spans="1:17">
      <c r="A55" s="10">
        <v>441324</v>
      </c>
      <c r="B55" s="10" t="s">
        <v>94</v>
      </c>
      <c r="C55" s="120">
        <v>0.85</v>
      </c>
      <c r="D55" s="10" t="s">
        <v>98</v>
      </c>
      <c r="E55" s="46">
        <v>163464</v>
      </c>
      <c r="F55" s="46">
        <v>1323</v>
      </c>
      <c r="G55" s="110">
        <f t="shared" si="67"/>
        <v>113102</v>
      </c>
      <c r="H55" s="110">
        <f t="shared" si="68"/>
        <v>10179</v>
      </c>
      <c r="I55" s="115">
        <f t="shared" si="61"/>
        <v>226.2</v>
      </c>
      <c r="J55" s="116">
        <f t="shared" si="69"/>
        <v>71.25</v>
      </c>
      <c r="K55" s="117">
        <f t="shared" si="70"/>
        <v>4.6</v>
      </c>
      <c r="L55" s="118">
        <v>60</v>
      </c>
      <c r="M55" s="118">
        <f t="shared" si="62"/>
        <v>362.05</v>
      </c>
      <c r="N55" s="41">
        <f t="shared" si="63"/>
        <v>226.2</v>
      </c>
      <c r="O55" s="117">
        <f t="shared" si="64"/>
        <v>32.31</v>
      </c>
      <c r="P55" s="117">
        <f t="shared" si="65"/>
        <v>64.63</v>
      </c>
      <c r="Q55" s="117">
        <f t="shared" si="66"/>
        <v>129.26</v>
      </c>
    </row>
    <row r="56" s="4" customFormat="1" ht="18" customHeight="1" spans="1:17">
      <c r="A56" s="22">
        <v>441400</v>
      </c>
      <c r="B56" s="22" t="s">
        <v>99</v>
      </c>
      <c r="C56" s="107"/>
      <c r="D56" s="23" t="s">
        <v>100</v>
      </c>
      <c r="E56" s="108">
        <f t="shared" ref="E56:Q56" si="71">SUM(E57:E63)</f>
        <v>1807860</v>
      </c>
      <c r="F56" s="108">
        <f t="shared" si="71"/>
        <v>132217</v>
      </c>
      <c r="G56" s="108">
        <f t="shared" si="71"/>
        <v>1133284</v>
      </c>
      <c r="H56" s="108">
        <f t="shared" si="71"/>
        <v>101996</v>
      </c>
      <c r="I56" s="114">
        <f t="shared" si="71"/>
        <v>2266.57</v>
      </c>
      <c r="J56" s="107">
        <f t="shared" si="71"/>
        <v>713.96</v>
      </c>
      <c r="K56" s="114">
        <f t="shared" si="71"/>
        <v>93.68</v>
      </c>
      <c r="L56" s="114">
        <f t="shared" si="71"/>
        <v>385</v>
      </c>
      <c r="M56" s="114">
        <f t="shared" si="71"/>
        <v>3459.21</v>
      </c>
      <c r="N56" s="114">
        <f t="shared" si="71"/>
        <v>2266.57</v>
      </c>
      <c r="O56" s="114">
        <f t="shared" si="71"/>
        <v>323.8</v>
      </c>
      <c r="P56" s="114">
        <f t="shared" si="71"/>
        <v>647.59</v>
      </c>
      <c r="Q56" s="114">
        <f t="shared" si="71"/>
        <v>1295.18</v>
      </c>
    </row>
    <row r="57" s="4" customFormat="1" ht="18" customHeight="1" spans="1:17">
      <c r="A57" s="22"/>
      <c r="B57" s="22"/>
      <c r="C57" s="120">
        <v>0.85</v>
      </c>
      <c r="D57" s="10" t="s">
        <v>58</v>
      </c>
      <c r="E57" s="108"/>
      <c r="F57" s="108"/>
      <c r="G57" s="108"/>
      <c r="H57" s="108"/>
      <c r="I57" s="115">
        <f t="shared" ref="I57:I63" si="72">ROUND(G57*20/10000,2)</f>
        <v>0</v>
      </c>
      <c r="J57" s="107">
        <v>0</v>
      </c>
      <c r="K57" s="117">
        <f>ROUND(H57*0.4*10/10000,2)</f>
        <v>0</v>
      </c>
      <c r="L57" s="118">
        <v>25</v>
      </c>
      <c r="M57" s="118">
        <f t="shared" ref="M57:M63" si="73">SUM(I57:L57)</f>
        <v>25</v>
      </c>
      <c r="N57" s="41">
        <f t="shared" ref="N57:N63" si="74">I57</f>
        <v>0</v>
      </c>
      <c r="O57" s="117">
        <f t="shared" ref="O57:O63" si="75">ROUND((E57-F57/0.7)*0.1*0.002,2)</f>
        <v>0</v>
      </c>
      <c r="P57" s="117">
        <f t="shared" ref="P57:P63" si="76">ROUND((E57-F57/0.7)*0.2*0.002,2)</f>
        <v>0</v>
      </c>
      <c r="Q57" s="117">
        <f t="shared" ref="Q57:Q63" si="77">N57-O57-P57</f>
        <v>0</v>
      </c>
    </row>
    <row r="58" s="1" customFormat="1" ht="18" customHeight="1" spans="1:17">
      <c r="A58" s="10">
        <v>441422</v>
      </c>
      <c r="B58" s="10" t="s">
        <v>99</v>
      </c>
      <c r="C58" s="120">
        <v>1</v>
      </c>
      <c r="D58" s="10" t="s">
        <v>101</v>
      </c>
      <c r="E58" s="46">
        <v>196859</v>
      </c>
      <c r="F58" s="46">
        <v>83282</v>
      </c>
      <c r="G58" s="110">
        <f t="shared" ref="G58:G63" si="78">ROUND(E58*0.7-F58,0)</f>
        <v>54519</v>
      </c>
      <c r="H58" s="110">
        <f t="shared" ref="H58:H63" si="79">ROUND(G58*0.09,0)</f>
        <v>4907</v>
      </c>
      <c r="I58" s="115">
        <f t="shared" si="72"/>
        <v>109.04</v>
      </c>
      <c r="J58" s="116">
        <f t="shared" ref="J58:J63" si="80">ROUND(G58*0.5*0.6*21/10000,2)</f>
        <v>34.35</v>
      </c>
      <c r="K58" s="117">
        <f t="shared" ref="K58:K63" si="81">ROUND((H58+F58)*0.4*10/10000,2)</f>
        <v>35.28</v>
      </c>
      <c r="L58" s="118">
        <v>60</v>
      </c>
      <c r="M58" s="118">
        <f t="shared" si="73"/>
        <v>238.67</v>
      </c>
      <c r="N58" s="41">
        <f t="shared" si="74"/>
        <v>109.04</v>
      </c>
      <c r="O58" s="117">
        <f t="shared" si="75"/>
        <v>15.58</v>
      </c>
      <c r="P58" s="117">
        <f t="shared" si="76"/>
        <v>31.15</v>
      </c>
      <c r="Q58" s="117">
        <f t="shared" si="77"/>
        <v>62.31</v>
      </c>
    </row>
    <row r="59" s="1" customFormat="1" ht="18" customHeight="1" spans="1:17">
      <c r="A59" s="10">
        <v>441423</v>
      </c>
      <c r="B59" s="10" t="s">
        <v>99</v>
      </c>
      <c r="C59" s="120">
        <v>1</v>
      </c>
      <c r="D59" s="10" t="s">
        <v>102</v>
      </c>
      <c r="E59" s="46">
        <v>295089</v>
      </c>
      <c r="F59" s="46">
        <v>9868</v>
      </c>
      <c r="G59" s="110">
        <f t="shared" si="78"/>
        <v>196694</v>
      </c>
      <c r="H59" s="110">
        <f t="shared" si="79"/>
        <v>17702</v>
      </c>
      <c r="I59" s="115">
        <f t="shared" si="72"/>
        <v>393.39</v>
      </c>
      <c r="J59" s="116">
        <f t="shared" si="80"/>
        <v>123.92</v>
      </c>
      <c r="K59" s="117">
        <f t="shared" si="81"/>
        <v>11.03</v>
      </c>
      <c r="L59" s="118">
        <v>60</v>
      </c>
      <c r="M59" s="118">
        <f t="shared" si="73"/>
        <v>588.34</v>
      </c>
      <c r="N59" s="41">
        <f t="shared" si="74"/>
        <v>393.39</v>
      </c>
      <c r="O59" s="117">
        <f t="shared" si="75"/>
        <v>56.2</v>
      </c>
      <c r="P59" s="117">
        <f t="shared" si="76"/>
        <v>112.4</v>
      </c>
      <c r="Q59" s="117">
        <f t="shared" si="77"/>
        <v>224.79</v>
      </c>
    </row>
    <row r="60" s="1" customFormat="1" ht="18" customHeight="1" spans="1:17">
      <c r="A60" s="10">
        <v>441424</v>
      </c>
      <c r="B60" s="10" t="s">
        <v>99</v>
      </c>
      <c r="C60" s="120">
        <v>1</v>
      </c>
      <c r="D60" s="10" t="s">
        <v>103</v>
      </c>
      <c r="E60" s="46">
        <v>621220</v>
      </c>
      <c r="F60" s="46">
        <v>4403</v>
      </c>
      <c r="G60" s="110">
        <f t="shared" si="78"/>
        <v>430451</v>
      </c>
      <c r="H60" s="110">
        <f t="shared" si="79"/>
        <v>38741</v>
      </c>
      <c r="I60" s="115">
        <f t="shared" si="72"/>
        <v>860.9</v>
      </c>
      <c r="J60" s="116">
        <f t="shared" si="80"/>
        <v>271.18</v>
      </c>
      <c r="K60" s="117">
        <f t="shared" si="81"/>
        <v>17.26</v>
      </c>
      <c r="L60" s="118">
        <v>60</v>
      </c>
      <c r="M60" s="118">
        <f t="shared" si="73"/>
        <v>1209.34</v>
      </c>
      <c r="N60" s="41">
        <f t="shared" si="74"/>
        <v>860.9</v>
      </c>
      <c r="O60" s="117">
        <f t="shared" si="75"/>
        <v>122.99</v>
      </c>
      <c r="P60" s="117">
        <f t="shared" si="76"/>
        <v>245.97</v>
      </c>
      <c r="Q60" s="117">
        <f t="shared" si="77"/>
        <v>491.94</v>
      </c>
    </row>
    <row r="61" s="1" customFormat="1" ht="18" customHeight="1" spans="1:17">
      <c r="A61" s="10">
        <v>441426</v>
      </c>
      <c r="B61" s="10" t="s">
        <v>99</v>
      </c>
      <c r="C61" s="120">
        <v>1</v>
      </c>
      <c r="D61" s="10" t="s">
        <v>104</v>
      </c>
      <c r="E61" s="46">
        <v>95316</v>
      </c>
      <c r="F61" s="46">
        <v>4651</v>
      </c>
      <c r="G61" s="110">
        <f t="shared" si="78"/>
        <v>62070</v>
      </c>
      <c r="H61" s="110">
        <f t="shared" si="79"/>
        <v>5586</v>
      </c>
      <c r="I61" s="115">
        <f t="shared" si="72"/>
        <v>124.14</v>
      </c>
      <c r="J61" s="116">
        <f t="shared" si="80"/>
        <v>39.1</v>
      </c>
      <c r="K61" s="117">
        <f t="shared" si="81"/>
        <v>4.09</v>
      </c>
      <c r="L61" s="118">
        <v>60</v>
      </c>
      <c r="M61" s="118">
        <f t="shared" si="73"/>
        <v>227.33</v>
      </c>
      <c r="N61" s="41">
        <f t="shared" si="74"/>
        <v>124.14</v>
      </c>
      <c r="O61" s="117">
        <f t="shared" si="75"/>
        <v>17.73</v>
      </c>
      <c r="P61" s="117">
        <f t="shared" si="76"/>
        <v>35.47</v>
      </c>
      <c r="Q61" s="117">
        <f t="shared" si="77"/>
        <v>70.94</v>
      </c>
    </row>
    <row r="62" s="1" customFormat="1" ht="18" customHeight="1" spans="1:17">
      <c r="A62" s="10">
        <v>441427</v>
      </c>
      <c r="B62" s="10" t="s">
        <v>99</v>
      </c>
      <c r="C62" s="120">
        <v>1</v>
      </c>
      <c r="D62" s="10" t="s">
        <v>105</v>
      </c>
      <c r="E62" s="46">
        <v>114227</v>
      </c>
      <c r="F62" s="46">
        <v>6528</v>
      </c>
      <c r="G62" s="110">
        <f t="shared" si="78"/>
        <v>73431</v>
      </c>
      <c r="H62" s="110">
        <f t="shared" si="79"/>
        <v>6609</v>
      </c>
      <c r="I62" s="115">
        <f t="shared" si="72"/>
        <v>146.86</v>
      </c>
      <c r="J62" s="116">
        <f t="shared" si="80"/>
        <v>46.26</v>
      </c>
      <c r="K62" s="117">
        <f t="shared" si="81"/>
        <v>5.25</v>
      </c>
      <c r="L62" s="118">
        <v>60</v>
      </c>
      <c r="M62" s="118">
        <f t="shared" si="73"/>
        <v>258.37</v>
      </c>
      <c r="N62" s="41">
        <f t="shared" si="74"/>
        <v>146.86</v>
      </c>
      <c r="O62" s="117">
        <f t="shared" si="75"/>
        <v>20.98</v>
      </c>
      <c r="P62" s="117">
        <f t="shared" si="76"/>
        <v>41.96</v>
      </c>
      <c r="Q62" s="117">
        <f t="shared" si="77"/>
        <v>83.92</v>
      </c>
    </row>
    <row r="63" s="1" customFormat="1" ht="18" customHeight="1" spans="1:17">
      <c r="A63" s="10">
        <v>441481</v>
      </c>
      <c r="B63" s="10" t="s">
        <v>99</v>
      </c>
      <c r="C63" s="120">
        <v>1</v>
      </c>
      <c r="D63" s="10" t="s">
        <v>106</v>
      </c>
      <c r="E63" s="46">
        <v>485149</v>
      </c>
      <c r="F63" s="46">
        <v>23485</v>
      </c>
      <c r="G63" s="110">
        <f t="shared" si="78"/>
        <v>316119</v>
      </c>
      <c r="H63" s="110">
        <f t="shared" si="79"/>
        <v>28451</v>
      </c>
      <c r="I63" s="115">
        <f t="shared" si="72"/>
        <v>632.24</v>
      </c>
      <c r="J63" s="116">
        <f t="shared" si="80"/>
        <v>199.15</v>
      </c>
      <c r="K63" s="117">
        <f t="shared" si="81"/>
        <v>20.77</v>
      </c>
      <c r="L63" s="118">
        <v>60</v>
      </c>
      <c r="M63" s="118">
        <f t="shared" si="73"/>
        <v>912.16</v>
      </c>
      <c r="N63" s="41">
        <f t="shared" si="74"/>
        <v>632.24</v>
      </c>
      <c r="O63" s="117">
        <f t="shared" si="75"/>
        <v>90.32</v>
      </c>
      <c r="P63" s="117">
        <f t="shared" si="76"/>
        <v>180.64</v>
      </c>
      <c r="Q63" s="117">
        <f t="shared" si="77"/>
        <v>361.28</v>
      </c>
    </row>
    <row r="64" s="4" customFormat="1" ht="18" customHeight="1" spans="1:17">
      <c r="A64" s="22">
        <v>441500</v>
      </c>
      <c r="B64" s="22" t="s">
        <v>107</v>
      </c>
      <c r="C64" s="107"/>
      <c r="D64" s="23" t="s">
        <v>108</v>
      </c>
      <c r="E64" s="108">
        <f t="shared" ref="E64:Q64" si="82">SUM(E65:E68)</f>
        <v>1301477</v>
      </c>
      <c r="F64" s="108">
        <f t="shared" si="82"/>
        <v>14324</v>
      </c>
      <c r="G64" s="108">
        <f t="shared" si="82"/>
        <v>896710</v>
      </c>
      <c r="H64" s="108">
        <f t="shared" si="82"/>
        <v>80704</v>
      </c>
      <c r="I64" s="114">
        <f t="shared" si="82"/>
        <v>1793.42</v>
      </c>
      <c r="J64" s="107">
        <f t="shared" si="82"/>
        <v>564.92</v>
      </c>
      <c r="K64" s="114">
        <f t="shared" si="82"/>
        <v>38.01</v>
      </c>
      <c r="L64" s="114">
        <f t="shared" si="82"/>
        <v>205</v>
      </c>
      <c r="M64" s="114">
        <f t="shared" si="82"/>
        <v>2601.35</v>
      </c>
      <c r="N64" s="114">
        <f t="shared" si="82"/>
        <v>1793.42</v>
      </c>
      <c r="O64" s="114">
        <f t="shared" si="82"/>
        <v>256.2</v>
      </c>
      <c r="P64" s="114">
        <f t="shared" si="82"/>
        <v>512.41</v>
      </c>
      <c r="Q64" s="114">
        <f t="shared" si="82"/>
        <v>1024.81</v>
      </c>
    </row>
    <row r="65" s="4" customFormat="1" ht="18" customHeight="1" spans="1:17">
      <c r="A65" s="22"/>
      <c r="B65" s="22"/>
      <c r="C65" s="120">
        <v>0.85</v>
      </c>
      <c r="D65" s="10" t="s">
        <v>58</v>
      </c>
      <c r="E65" s="108"/>
      <c r="F65" s="108"/>
      <c r="G65" s="108"/>
      <c r="H65" s="108"/>
      <c r="I65" s="115">
        <f t="shared" ref="I65:I68" si="83">ROUND(G65*20/10000,2)</f>
        <v>0</v>
      </c>
      <c r="J65" s="107">
        <v>0</v>
      </c>
      <c r="K65" s="117">
        <f>ROUND(H65*0.4*10/10000,2)</f>
        <v>0</v>
      </c>
      <c r="L65" s="118">
        <v>25</v>
      </c>
      <c r="M65" s="118">
        <f t="shared" ref="M65:M68" si="84">SUM(I65:L65)</f>
        <v>25</v>
      </c>
      <c r="N65" s="41">
        <f t="shared" ref="N65:N68" si="85">I65</f>
        <v>0</v>
      </c>
      <c r="O65" s="117">
        <f t="shared" ref="O65:O68" si="86">ROUND((E65-F65/0.7)*0.1*0.002,2)</f>
        <v>0</v>
      </c>
      <c r="P65" s="117">
        <f t="shared" ref="P65:P68" si="87">ROUND((E65-F65/0.7)*0.2*0.002,2)</f>
        <v>0</v>
      </c>
      <c r="Q65" s="117">
        <f t="shared" ref="Q65:Q68" si="88">N65-O65-P65</f>
        <v>0</v>
      </c>
    </row>
    <row r="66" s="1" customFormat="1" ht="18" customHeight="1" spans="1:17">
      <c r="A66" s="10">
        <v>441521</v>
      </c>
      <c r="B66" s="10" t="s">
        <v>107</v>
      </c>
      <c r="C66" s="120">
        <v>1</v>
      </c>
      <c r="D66" s="10" t="s">
        <v>109</v>
      </c>
      <c r="E66" s="46">
        <v>478182</v>
      </c>
      <c r="F66" s="46">
        <v>8214</v>
      </c>
      <c r="G66" s="110">
        <f t="shared" ref="G66:G68" si="89">ROUND(E66*0.7-F66,0)</f>
        <v>326513</v>
      </c>
      <c r="H66" s="110">
        <f t="shared" ref="H66:H68" si="90">ROUND(G66*0.09,0)</f>
        <v>29386</v>
      </c>
      <c r="I66" s="115">
        <f t="shared" si="83"/>
        <v>653.03</v>
      </c>
      <c r="J66" s="116">
        <f t="shared" ref="J66:J68" si="91">ROUND(G66*0.5*0.6*21/10000,2)</f>
        <v>205.7</v>
      </c>
      <c r="K66" s="117">
        <f t="shared" ref="K66:K68" si="92">ROUND((H66+F66)*0.4*10/10000,2)</f>
        <v>15.04</v>
      </c>
      <c r="L66" s="118">
        <v>60</v>
      </c>
      <c r="M66" s="118">
        <f t="shared" si="84"/>
        <v>933.77</v>
      </c>
      <c r="N66" s="41">
        <f t="shared" si="85"/>
        <v>653.03</v>
      </c>
      <c r="O66" s="117">
        <f t="shared" si="86"/>
        <v>93.29</v>
      </c>
      <c r="P66" s="117">
        <f t="shared" si="87"/>
        <v>186.58</v>
      </c>
      <c r="Q66" s="117">
        <f t="shared" si="88"/>
        <v>373.16</v>
      </c>
    </row>
    <row r="67" s="1" customFormat="1" ht="18" customHeight="1" spans="1:17">
      <c r="A67" s="10">
        <v>441523</v>
      </c>
      <c r="B67" s="10" t="s">
        <v>107</v>
      </c>
      <c r="C67" s="120">
        <v>1</v>
      </c>
      <c r="D67" s="10" t="s">
        <v>110</v>
      </c>
      <c r="E67" s="46">
        <v>100597</v>
      </c>
      <c r="F67" s="46">
        <v>368</v>
      </c>
      <c r="G67" s="110">
        <f t="shared" si="89"/>
        <v>70050</v>
      </c>
      <c r="H67" s="110">
        <f t="shared" si="90"/>
        <v>6305</v>
      </c>
      <c r="I67" s="115">
        <f t="shared" si="83"/>
        <v>140.1</v>
      </c>
      <c r="J67" s="116">
        <f t="shared" si="91"/>
        <v>44.13</v>
      </c>
      <c r="K67" s="117">
        <f t="shared" si="92"/>
        <v>2.67</v>
      </c>
      <c r="L67" s="118">
        <v>60</v>
      </c>
      <c r="M67" s="118">
        <f t="shared" si="84"/>
        <v>246.9</v>
      </c>
      <c r="N67" s="41">
        <f t="shared" si="85"/>
        <v>140.1</v>
      </c>
      <c r="O67" s="117">
        <f t="shared" si="86"/>
        <v>20.01</v>
      </c>
      <c r="P67" s="117">
        <f t="shared" si="87"/>
        <v>40.03</v>
      </c>
      <c r="Q67" s="117">
        <f t="shared" si="88"/>
        <v>80.06</v>
      </c>
    </row>
    <row r="68" s="1" customFormat="1" ht="18" customHeight="1" spans="1:17">
      <c r="A68" s="10">
        <v>441581</v>
      </c>
      <c r="B68" s="10" t="s">
        <v>107</v>
      </c>
      <c r="C68" s="120">
        <v>1</v>
      </c>
      <c r="D68" s="10" t="s">
        <v>111</v>
      </c>
      <c r="E68" s="46">
        <v>722698</v>
      </c>
      <c r="F68" s="46">
        <v>5742</v>
      </c>
      <c r="G68" s="110">
        <f t="shared" si="89"/>
        <v>500147</v>
      </c>
      <c r="H68" s="110">
        <f t="shared" si="90"/>
        <v>45013</v>
      </c>
      <c r="I68" s="115">
        <f t="shared" si="83"/>
        <v>1000.29</v>
      </c>
      <c r="J68" s="116">
        <f t="shared" si="91"/>
        <v>315.09</v>
      </c>
      <c r="K68" s="117">
        <f t="shared" si="92"/>
        <v>20.3</v>
      </c>
      <c r="L68" s="118">
        <v>60</v>
      </c>
      <c r="M68" s="118">
        <f t="shared" si="84"/>
        <v>1395.68</v>
      </c>
      <c r="N68" s="41">
        <f t="shared" si="85"/>
        <v>1000.29</v>
      </c>
      <c r="O68" s="117">
        <f t="shared" si="86"/>
        <v>142.9</v>
      </c>
      <c r="P68" s="117">
        <f t="shared" si="87"/>
        <v>285.8</v>
      </c>
      <c r="Q68" s="117">
        <f t="shared" si="88"/>
        <v>571.59</v>
      </c>
    </row>
    <row r="69" s="4" customFormat="1" ht="18" customHeight="1" spans="1:17">
      <c r="A69" s="22">
        <v>441600</v>
      </c>
      <c r="B69" s="22" t="s">
        <v>112</v>
      </c>
      <c r="C69" s="107"/>
      <c r="D69" s="23" t="s">
        <v>113</v>
      </c>
      <c r="E69" s="108">
        <f t="shared" ref="E69:Q69" si="93">SUM(E70:E75)</f>
        <v>1266965</v>
      </c>
      <c r="F69" s="108">
        <f t="shared" si="93"/>
        <v>54887</v>
      </c>
      <c r="G69" s="108">
        <f t="shared" si="93"/>
        <v>831987</v>
      </c>
      <c r="H69" s="108">
        <f t="shared" si="93"/>
        <v>74879</v>
      </c>
      <c r="I69" s="114">
        <f t="shared" si="93"/>
        <v>1663.97</v>
      </c>
      <c r="J69" s="107">
        <f t="shared" si="93"/>
        <v>524.16</v>
      </c>
      <c r="K69" s="114">
        <f t="shared" si="93"/>
        <v>51.92</v>
      </c>
      <c r="L69" s="114">
        <f t="shared" si="93"/>
        <v>325</v>
      </c>
      <c r="M69" s="114">
        <f t="shared" si="93"/>
        <v>2565.05</v>
      </c>
      <c r="N69" s="114">
        <f t="shared" si="93"/>
        <v>1663.97</v>
      </c>
      <c r="O69" s="114">
        <f t="shared" si="93"/>
        <v>237.71</v>
      </c>
      <c r="P69" s="114">
        <f t="shared" si="93"/>
        <v>475.43</v>
      </c>
      <c r="Q69" s="114">
        <f t="shared" si="93"/>
        <v>950.83</v>
      </c>
    </row>
    <row r="70" s="4" customFormat="1" ht="18" customHeight="1" spans="1:17">
      <c r="A70" s="22"/>
      <c r="B70" s="22"/>
      <c r="C70" s="120">
        <v>0.85</v>
      </c>
      <c r="D70" s="10" t="s">
        <v>58</v>
      </c>
      <c r="E70" s="108"/>
      <c r="F70" s="108"/>
      <c r="G70" s="108"/>
      <c r="H70" s="108"/>
      <c r="I70" s="115">
        <f t="shared" ref="I70:I75" si="94">ROUND(G70*20/10000,2)</f>
        <v>0</v>
      </c>
      <c r="J70" s="107">
        <v>0</v>
      </c>
      <c r="K70" s="117">
        <f>ROUND(H70*0.4*10/10000,2)</f>
        <v>0</v>
      </c>
      <c r="L70" s="118">
        <v>25</v>
      </c>
      <c r="M70" s="118">
        <f t="shared" ref="M70:M75" si="95">SUM(I70:L70)</f>
        <v>25</v>
      </c>
      <c r="N70" s="41">
        <f t="shared" ref="N70:N75" si="96">I70</f>
        <v>0</v>
      </c>
      <c r="O70" s="117">
        <f t="shared" ref="O70:O75" si="97">ROUND((E70-F70/0.7)*0.1*0.002,2)</f>
        <v>0</v>
      </c>
      <c r="P70" s="117">
        <f t="shared" ref="P70:P75" si="98">ROUND((E70-F70/0.7)*0.2*0.002,2)</f>
        <v>0</v>
      </c>
      <c r="Q70" s="117">
        <f t="shared" ref="Q70:Q75" si="99">N70-O70-P70</f>
        <v>0</v>
      </c>
    </row>
    <row r="71" s="1" customFormat="1" ht="18" customHeight="1" spans="1:17">
      <c r="A71" s="10">
        <v>441621</v>
      </c>
      <c r="B71" s="10" t="s">
        <v>112</v>
      </c>
      <c r="C71" s="120">
        <v>1</v>
      </c>
      <c r="D71" s="10" t="s">
        <v>114</v>
      </c>
      <c r="E71" s="46">
        <v>318346</v>
      </c>
      <c r="F71" s="46">
        <v>17222</v>
      </c>
      <c r="G71" s="110">
        <f t="shared" ref="G71:G75" si="100">ROUND(E71*0.7-F71,0)</f>
        <v>205620</v>
      </c>
      <c r="H71" s="110">
        <f t="shared" ref="H71:H75" si="101">ROUND(G71*0.09,0)</f>
        <v>18506</v>
      </c>
      <c r="I71" s="115">
        <f t="shared" si="94"/>
        <v>411.24</v>
      </c>
      <c r="J71" s="116">
        <f t="shared" ref="J71:J75" si="102">ROUND(G71*0.5*0.6*21/10000,2)</f>
        <v>129.54</v>
      </c>
      <c r="K71" s="117">
        <f t="shared" ref="K71:K75" si="103">ROUND((H71+F71)*0.4*10/10000,2)</f>
        <v>14.29</v>
      </c>
      <c r="L71" s="118">
        <v>60</v>
      </c>
      <c r="M71" s="118">
        <f t="shared" si="95"/>
        <v>615.07</v>
      </c>
      <c r="N71" s="41">
        <f t="shared" si="96"/>
        <v>411.24</v>
      </c>
      <c r="O71" s="117">
        <f t="shared" si="97"/>
        <v>58.75</v>
      </c>
      <c r="P71" s="117">
        <f t="shared" si="98"/>
        <v>117.5</v>
      </c>
      <c r="Q71" s="117">
        <f t="shared" si="99"/>
        <v>234.99</v>
      </c>
    </row>
    <row r="72" s="1" customFormat="1" ht="18" customHeight="1" spans="1:17">
      <c r="A72" s="10">
        <v>441622</v>
      </c>
      <c r="B72" s="10" t="s">
        <v>112</v>
      </c>
      <c r="C72" s="120">
        <v>1</v>
      </c>
      <c r="D72" s="10" t="s">
        <v>115</v>
      </c>
      <c r="E72" s="46">
        <v>349329</v>
      </c>
      <c r="F72" s="46">
        <v>22814</v>
      </c>
      <c r="G72" s="110">
        <f t="shared" si="100"/>
        <v>221716</v>
      </c>
      <c r="H72" s="110">
        <f t="shared" si="101"/>
        <v>19954</v>
      </c>
      <c r="I72" s="115">
        <f t="shared" si="94"/>
        <v>443.43</v>
      </c>
      <c r="J72" s="116">
        <f t="shared" si="102"/>
        <v>139.68</v>
      </c>
      <c r="K72" s="117">
        <f t="shared" si="103"/>
        <v>17.11</v>
      </c>
      <c r="L72" s="118">
        <v>60</v>
      </c>
      <c r="M72" s="118">
        <f t="shared" si="95"/>
        <v>660.22</v>
      </c>
      <c r="N72" s="41">
        <f t="shared" si="96"/>
        <v>443.43</v>
      </c>
      <c r="O72" s="117">
        <f t="shared" si="97"/>
        <v>63.35</v>
      </c>
      <c r="P72" s="117">
        <f t="shared" si="98"/>
        <v>126.7</v>
      </c>
      <c r="Q72" s="117">
        <f t="shared" si="99"/>
        <v>253.38</v>
      </c>
    </row>
    <row r="73" s="1" customFormat="1" ht="18" customHeight="1" spans="1:17">
      <c r="A73" s="10">
        <v>441623</v>
      </c>
      <c r="B73" s="10" t="s">
        <v>112</v>
      </c>
      <c r="C73" s="120">
        <v>1</v>
      </c>
      <c r="D73" s="10" t="s">
        <v>116</v>
      </c>
      <c r="E73" s="46">
        <v>176812</v>
      </c>
      <c r="F73" s="46">
        <v>6236</v>
      </c>
      <c r="G73" s="110">
        <f t="shared" si="100"/>
        <v>117532</v>
      </c>
      <c r="H73" s="110">
        <f t="shared" si="101"/>
        <v>10578</v>
      </c>
      <c r="I73" s="115">
        <f t="shared" si="94"/>
        <v>235.06</v>
      </c>
      <c r="J73" s="116">
        <f t="shared" si="102"/>
        <v>74.05</v>
      </c>
      <c r="K73" s="117">
        <f t="shared" si="103"/>
        <v>6.73</v>
      </c>
      <c r="L73" s="118">
        <v>60</v>
      </c>
      <c r="M73" s="118">
        <f t="shared" si="95"/>
        <v>375.84</v>
      </c>
      <c r="N73" s="41">
        <f t="shared" si="96"/>
        <v>235.06</v>
      </c>
      <c r="O73" s="117">
        <f t="shared" si="97"/>
        <v>33.58</v>
      </c>
      <c r="P73" s="117">
        <f t="shared" si="98"/>
        <v>67.16</v>
      </c>
      <c r="Q73" s="117">
        <f t="shared" si="99"/>
        <v>134.32</v>
      </c>
    </row>
    <row r="74" s="1" customFormat="1" ht="18" customHeight="1" spans="1:17">
      <c r="A74" s="10">
        <v>441624</v>
      </c>
      <c r="B74" s="10" t="s">
        <v>112</v>
      </c>
      <c r="C74" s="120">
        <v>1</v>
      </c>
      <c r="D74" s="10" t="s">
        <v>117</v>
      </c>
      <c r="E74" s="46">
        <v>207762</v>
      </c>
      <c r="F74" s="46">
        <v>2169</v>
      </c>
      <c r="G74" s="110">
        <f t="shared" si="100"/>
        <v>143264</v>
      </c>
      <c r="H74" s="110">
        <f t="shared" si="101"/>
        <v>12894</v>
      </c>
      <c r="I74" s="115">
        <f t="shared" si="94"/>
        <v>286.53</v>
      </c>
      <c r="J74" s="116">
        <f t="shared" si="102"/>
        <v>90.26</v>
      </c>
      <c r="K74" s="117">
        <f t="shared" si="103"/>
        <v>6.03</v>
      </c>
      <c r="L74" s="118">
        <v>60</v>
      </c>
      <c r="M74" s="118">
        <f t="shared" si="95"/>
        <v>442.82</v>
      </c>
      <c r="N74" s="41">
        <f t="shared" si="96"/>
        <v>286.53</v>
      </c>
      <c r="O74" s="117">
        <f t="shared" si="97"/>
        <v>40.93</v>
      </c>
      <c r="P74" s="117">
        <f t="shared" si="98"/>
        <v>81.87</v>
      </c>
      <c r="Q74" s="117">
        <f t="shared" si="99"/>
        <v>163.73</v>
      </c>
    </row>
    <row r="75" s="1" customFormat="1" ht="18" customHeight="1" spans="1:17">
      <c r="A75" s="10">
        <v>441625</v>
      </c>
      <c r="B75" s="10" t="s">
        <v>112</v>
      </c>
      <c r="C75" s="120">
        <v>0.85</v>
      </c>
      <c r="D75" s="10" t="s">
        <v>118</v>
      </c>
      <c r="E75" s="46">
        <v>214716</v>
      </c>
      <c r="F75" s="46">
        <v>6446</v>
      </c>
      <c r="G75" s="110">
        <f t="shared" si="100"/>
        <v>143855</v>
      </c>
      <c r="H75" s="110">
        <f t="shared" si="101"/>
        <v>12947</v>
      </c>
      <c r="I75" s="115">
        <f t="shared" si="94"/>
        <v>287.71</v>
      </c>
      <c r="J75" s="116">
        <f t="shared" si="102"/>
        <v>90.63</v>
      </c>
      <c r="K75" s="117">
        <f t="shared" si="103"/>
        <v>7.76</v>
      </c>
      <c r="L75" s="118">
        <v>60</v>
      </c>
      <c r="M75" s="118">
        <f t="shared" si="95"/>
        <v>446.1</v>
      </c>
      <c r="N75" s="41">
        <f t="shared" si="96"/>
        <v>287.71</v>
      </c>
      <c r="O75" s="117">
        <f t="shared" si="97"/>
        <v>41.1</v>
      </c>
      <c r="P75" s="117">
        <f t="shared" si="98"/>
        <v>82.2</v>
      </c>
      <c r="Q75" s="117">
        <f t="shared" si="99"/>
        <v>164.41</v>
      </c>
    </row>
    <row r="76" s="4" customFormat="1" ht="18" customHeight="1" spans="1:17">
      <c r="A76" s="22">
        <v>441700</v>
      </c>
      <c r="B76" s="22" t="s">
        <v>119</v>
      </c>
      <c r="C76" s="107"/>
      <c r="D76" s="23" t="s">
        <v>120</v>
      </c>
      <c r="E76" s="108">
        <f t="shared" ref="E76:Q76" si="104">SUM(E77:E79)</f>
        <v>859387</v>
      </c>
      <c r="F76" s="108">
        <f t="shared" si="104"/>
        <v>44882</v>
      </c>
      <c r="G76" s="108">
        <f t="shared" si="104"/>
        <v>556689</v>
      </c>
      <c r="H76" s="108">
        <f t="shared" si="104"/>
        <v>50102</v>
      </c>
      <c r="I76" s="114">
        <f t="shared" si="104"/>
        <v>1113.38</v>
      </c>
      <c r="J76" s="107">
        <f t="shared" si="104"/>
        <v>350.72</v>
      </c>
      <c r="K76" s="114">
        <f t="shared" si="104"/>
        <v>37.99</v>
      </c>
      <c r="L76" s="114">
        <f t="shared" si="104"/>
        <v>145</v>
      </c>
      <c r="M76" s="114">
        <f t="shared" si="104"/>
        <v>1647.09</v>
      </c>
      <c r="N76" s="114">
        <f t="shared" si="104"/>
        <v>1113.38</v>
      </c>
      <c r="O76" s="114">
        <f t="shared" si="104"/>
        <v>159.05</v>
      </c>
      <c r="P76" s="114">
        <f t="shared" si="104"/>
        <v>318.11</v>
      </c>
      <c r="Q76" s="114">
        <f t="shared" si="104"/>
        <v>636.22</v>
      </c>
    </row>
    <row r="77" s="4" customFormat="1" ht="18" customHeight="1" spans="1:17">
      <c r="A77" s="22"/>
      <c r="B77" s="22"/>
      <c r="C77" s="120">
        <v>0.85</v>
      </c>
      <c r="D77" s="10" t="s">
        <v>58</v>
      </c>
      <c r="E77" s="108"/>
      <c r="F77" s="108"/>
      <c r="G77" s="108"/>
      <c r="H77" s="108"/>
      <c r="I77" s="115">
        <f t="shared" ref="I77:I79" si="105">ROUND(G77*20/10000,2)</f>
        <v>0</v>
      </c>
      <c r="J77" s="107">
        <v>0</v>
      </c>
      <c r="K77" s="117">
        <f>ROUND(H77*0.4*10/10000,2)</f>
        <v>0</v>
      </c>
      <c r="L77" s="118">
        <v>25</v>
      </c>
      <c r="M77" s="118">
        <f t="shared" ref="M77:M79" si="106">SUM(I77:L77)</f>
        <v>25</v>
      </c>
      <c r="N77" s="41">
        <f t="shared" ref="N77:N79" si="107">I77</f>
        <v>0</v>
      </c>
      <c r="O77" s="117">
        <f t="shared" ref="O77:O79" si="108">ROUND((E77-F77/0.7)*0.1*0.002,2)</f>
        <v>0</v>
      </c>
      <c r="P77" s="117">
        <f t="shared" ref="P77:P79" si="109">ROUND((E77-F77/0.7)*0.2*0.002,2)</f>
        <v>0</v>
      </c>
      <c r="Q77" s="117">
        <f t="shared" ref="Q77:Q79" si="110">N77-O77-P77</f>
        <v>0</v>
      </c>
    </row>
    <row r="78" s="1" customFormat="1" ht="18" customHeight="1" spans="1:17">
      <c r="A78" s="10">
        <v>441721</v>
      </c>
      <c r="B78" s="10" t="s">
        <v>119</v>
      </c>
      <c r="C78" s="120">
        <v>0.85</v>
      </c>
      <c r="D78" s="10" t="s">
        <v>121</v>
      </c>
      <c r="E78" s="46">
        <v>298294</v>
      </c>
      <c r="F78" s="46">
        <v>10447</v>
      </c>
      <c r="G78" s="110">
        <f t="shared" ref="G78:G87" si="111">ROUND(E78*0.7-F78,0)</f>
        <v>198359</v>
      </c>
      <c r="H78" s="110">
        <f t="shared" ref="H78:H87" si="112">ROUND(G78*0.09,0)</f>
        <v>17852</v>
      </c>
      <c r="I78" s="115">
        <f t="shared" si="105"/>
        <v>396.72</v>
      </c>
      <c r="J78" s="116">
        <f t="shared" ref="J78:J87" si="113">ROUND(G78*0.5*0.6*21/10000,2)</f>
        <v>124.97</v>
      </c>
      <c r="K78" s="117">
        <f t="shared" ref="K78:K87" si="114">ROUND((H78+F78)*0.4*10/10000,2)</f>
        <v>11.32</v>
      </c>
      <c r="L78" s="118">
        <v>60</v>
      </c>
      <c r="M78" s="118">
        <f t="shared" si="106"/>
        <v>593.01</v>
      </c>
      <c r="N78" s="41">
        <f t="shared" si="107"/>
        <v>396.72</v>
      </c>
      <c r="O78" s="117">
        <f t="shared" si="108"/>
        <v>56.67</v>
      </c>
      <c r="P78" s="117">
        <f t="shared" si="109"/>
        <v>113.35</v>
      </c>
      <c r="Q78" s="117">
        <f t="shared" si="110"/>
        <v>226.7</v>
      </c>
    </row>
    <row r="79" s="1" customFormat="1" ht="18" customHeight="1" spans="1:17">
      <c r="A79" s="10">
        <v>441781</v>
      </c>
      <c r="B79" s="10" t="s">
        <v>119</v>
      </c>
      <c r="C79" s="120">
        <v>0.85</v>
      </c>
      <c r="D79" s="10" t="s">
        <v>122</v>
      </c>
      <c r="E79" s="46">
        <v>561093</v>
      </c>
      <c r="F79" s="46">
        <v>34435</v>
      </c>
      <c r="G79" s="110">
        <f t="shared" si="111"/>
        <v>358330</v>
      </c>
      <c r="H79" s="110">
        <f t="shared" si="112"/>
        <v>32250</v>
      </c>
      <c r="I79" s="115">
        <f t="shared" si="105"/>
        <v>716.66</v>
      </c>
      <c r="J79" s="116">
        <f t="shared" si="113"/>
        <v>225.75</v>
      </c>
      <c r="K79" s="117">
        <f t="shared" si="114"/>
        <v>26.67</v>
      </c>
      <c r="L79" s="118">
        <v>60</v>
      </c>
      <c r="M79" s="118">
        <f t="shared" si="106"/>
        <v>1029.08</v>
      </c>
      <c r="N79" s="41">
        <f t="shared" si="107"/>
        <v>716.66</v>
      </c>
      <c r="O79" s="117">
        <f t="shared" si="108"/>
        <v>102.38</v>
      </c>
      <c r="P79" s="117">
        <f t="shared" si="109"/>
        <v>204.76</v>
      </c>
      <c r="Q79" s="117">
        <f t="shared" si="110"/>
        <v>409.52</v>
      </c>
    </row>
    <row r="80" s="4" customFormat="1" ht="18" customHeight="1" spans="1:17">
      <c r="A80" s="22"/>
      <c r="B80" s="22"/>
      <c r="C80" s="107"/>
      <c r="D80" s="23" t="s">
        <v>123</v>
      </c>
      <c r="E80" s="108">
        <f t="shared" ref="E80:Q80" si="115">SUM(E81:E87)</f>
        <v>1262547</v>
      </c>
      <c r="F80" s="108">
        <f t="shared" si="115"/>
        <v>91745</v>
      </c>
      <c r="G80" s="108">
        <f t="shared" si="115"/>
        <v>792039</v>
      </c>
      <c r="H80" s="108">
        <f t="shared" si="115"/>
        <v>71284</v>
      </c>
      <c r="I80" s="114">
        <f t="shared" si="115"/>
        <v>1584.08</v>
      </c>
      <c r="J80" s="107">
        <f t="shared" si="115"/>
        <v>498.98</v>
      </c>
      <c r="K80" s="114">
        <f t="shared" si="115"/>
        <v>65.21</v>
      </c>
      <c r="L80" s="114">
        <f t="shared" si="115"/>
        <v>385</v>
      </c>
      <c r="M80" s="114">
        <f t="shared" si="115"/>
        <v>2533.27</v>
      </c>
      <c r="N80" s="114">
        <f t="shared" si="115"/>
        <v>1584.08</v>
      </c>
      <c r="O80" s="114">
        <f t="shared" si="115"/>
        <v>226.3</v>
      </c>
      <c r="P80" s="114">
        <f t="shared" si="115"/>
        <v>452.58</v>
      </c>
      <c r="Q80" s="114">
        <f t="shared" si="115"/>
        <v>905.2</v>
      </c>
    </row>
    <row r="81" s="4" customFormat="1" ht="18" customHeight="1" spans="1:17">
      <c r="A81" s="22"/>
      <c r="B81" s="22"/>
      <c r="C81" s="120">
        <v>0.85</v>
      </c>
      <c r="D81" s="10" t="s">
        <v>58</v>
      </c>
      <c r="E81" s="108"/>
      <c r="F81" s="108"/>
      <c r="G81" s="108"/>
      <c r="H81" s="108"/>
      <c r="I81" s="115">
        <f t="shared" ref="I81:I87" si="116">ROUND(G81*20/10000,2)</f>
        <v>0</v>
      </c>
      <c r="J81" s="107">
        <v>0</v>
      </c>
      <c r="K81" s="117">
        <f>ROUND(H81*0.4*10/10000,2)</f>
        <v>0</v>
      </c>
      <c r="L81" s="118">
        <v>25</v>
      </c>
      <c r="M81" s="118">
        <f t="shared" ref="M81:M87" si="117">SUM(I81:L81)</f>
        <v>25</v>
      </c>
      <c r="N81" s="41">
        <f t="shared" ref="N81:N87" si="118">I81</f>
        <v>0</v>
      </c>
      <c r="O81" s="117">
        <f t="shared" ref="O81:O87" si="119">ROUND((E81-F81/0.7)*0.1*0.002,2)</f>
        <v>0</v>
      </c>
      <c r="P81" s="117">
        <f t="shared" ref="P81:P87" si="120">ROUND((E81-F81/0.7)*0.2*0.002,2)</f>
        <v>0</v>
      </c>
      <c r="Q81" s="117">
        <f t="shared" ref="Q81:Q87" si="121">N81-O81-P81</f>
        <v>0</v>
      </c>
    </row>
    <row r="82" s="1" customFormat="1" ht="18" customHeight="1" spans="1:17">
      <c r="A82" s="10">
        <v>441821</v>
      </c>
      <c r="B82" s="10" t="s">
        <v>124</v>
      </c>
      <c r="C82" s="120">
        <v>0.85</v>
      </c>
      <c r="D82" s="10" t="s">
        <v>125</v>
      </c>
      <c r="E82" s="46">
        <v>205323</v>
      </c>
      <c r="F82" s="46">
        <v>9832</v>
      </c>
      <c r="G82" s="110">
        <f t="shared" si="111"/>
        <v>133894</v>
      </c>
      <c r="H82" s="110">
        <f t="shared" si="112"/>
        <v>12050</v>
      </c>
      <c r="I82" s="115">
        <f t="shared" si="116"/>
        <v>267.79</v>
      </c>
      <c r="J82" s="116">
        <f t="shared" si="113"/>
        <v>84.35</v>
      </c>
      <c r="K82" s="117">
        <f t="shared" si="114"/>
        <v>8.75</v>
      </c>
      <c r="L82" s="118">
        <v>60</v>
      </c>
      <c r="M82" s="118">
        <f t="shared" si="117"/>
        <v>420.89</v>
      </c>
      <c r="N82" s="41">
        <f t="shared" si="118"/>
        <v>267.79</v>
      </c>
      <c r="O82" s="117">
        <f t="shared" si="119"/>
        <v>38.26</v>
      </c>
      <c r="P82" s="117">
        <f t="shared" si="120"/>
        <v>76.51</v>
      </c>
      <c r="Q82" s="117">
        <f t="shared" si="121"/>
        <v>153.02</v>
      </c>
    </row>
    <row r="83" s="1" customFormat="1" ht="18" customHeight="1" spans="1:17">
      <c r="A83" s="10">
        <v>441823</v>
      </c>
      <c r="B83" s="10" t="s">
        <v>124</v>
      </c>
      <c r="C83" s="120">
        <v>0.85</v>
      </c>
      <c r="D83" s="10" t="s">
        <v>126</v>
      </c>
      <c r="E83" s="46">
        <v>226254</v>
      </c>
      <c r="F83" s="46">
        <v>12905</v>
      </c>
      <c r="G83" s="110">
        <f t="shared" si="111"/>
        <v>145473</v>
      </c>
      <c r="H83" s="110">
        <f t="shared" si="112"/>
        <v>13093</v>
      </c>
      <c r="I83" s="115">
        <f t="shared" si="116"/>
        <v>290.95</v>
      </c>
      <c r="J83" s="116">
        <f t="shared" si="113"/>
        <v>91.65</v>
      </c>
      <c r="K83" s="117">
        <f t="shared" si="114"/>
        <v>10.4</v>
      </c>
      <c r="L83" s="118">
        <v>60</v>
      </c>
      <c r="M83" s="118">
        <f t="shared" si="117"/>
        <v>453</v>
      </c>
      <c r="N83" s="41">
        <f t="shared" si="118"/>
        <v>290.95</v>
      </c>
      <c r="O83" s="117">
        <f t="shared" si="119"/>
        <v>41.56</v>
      </c>
      <c r="P83" s="117">
        <f t="shared" si="120"/>
        <v>83.13</v>
      </c>
      <c r="Q83" s="117">
        <f t="shared" si="121"/>
        <v>166.26</v>
      </c>
    </row>
    <row r="84" s="1" customFormat="1" ht="18" customHeight="1" spans="1:17">
      <c r="A84" s="10">
        <v>441825</v>
      </c>
      <c r="B84" s="10" t="s">
        <v>124</v>
      </c>
      <c r="C84" s="120">
        <v>1</v>
      </c>
      <c r="D84" s="10" t="s">
        <v>127</v>
      </c>
      <c r="E84" s="46">
        <v>52535</v>
      </c>
      <c r="F84" s="46">
        <v>931</v>
      </c>
      <c r="G84" s="110">
        <f t="shared" si="111"/>
        <v>35844</v>
      </c>
      <c r="H84" s="110">
        <f t="shared" si="112"/>
        <v>3226</v>
      </c>
      <c r="I84" s="115">
        <f t="shared" si="116"/>
        <v>71.69</v>
      </c>
      <c r="J84" s="116">
        <f t="shared" si="113"/>
        <v>22.58</v>
      </c>
      <c r="K84" s="117">
        <f t="shared" si="114"/>
        <v>1.66</v>
      </c>
      <c r="L84" s="118">
        <v>60</v>
      </c>
      <c r="M84" s="118">
        <f t="shared" si="117"/>
        <v>155.93</v>
      </c>
      <c r="N84" s="41">
        <f t="shared" si="118"/>
        <v>71.69</v>
      </c>
      <c r="O84" s="117">
        <f t="shared" si="119"/>
        <v>10.24</v>
      </c>
      <c r="P84" s="117">
        <f t="shared" si="120"/>
        <v>20.48</v>
      </c>
      <c r="Q84" s="117">
        <f t="shared" si="121"/>
        <v>40.97</v>
      </c>
    </row>
    <row r="85" s="1" customFormat="1" ht="18" customHeight="1" spans="1:17">
      <c r="A85" s="10">
        <v>441826</v>
      </c>
      <c r="B85" s="10" t="s">
        <v>124</v>
      </c>
      <c r="C85" s="120">
        <v>1</v>
      </c>
      <c r="D85" s="10" t="s">
        <v>128</v>
      </c>
      <c r="E85" s="46">
        <v>66948</v>
      </c>
      <c r="F85" s="46">
        <v>6274</v>
      </c>
      <c r="G85" s="110">
        <f t="shared" si="111"/>
        <v>40590</v>
      </c>
      <c r="H85" s="110">
        <f t="shared" si="112"/>
        <v>3653</v>
      </c>
      <c r="I85" s="115">
        <f t="shared" si="116"/>
        <v>81.18</v>
      </c>
      <c r="J85" s="116">
        <f t="shared" si="113"/>
        <v>25.57</v>
      </c>
      <c r="K85" s="117">
        <f t="shared" si="114"/>
        <v>3.97</v>
      </c>
      <c r="L85" s="118">
        <v>60</v>
      </c>
      <c r="M85" s="118">
        <f t="shared" si="117"/>
        <v>170.72</v>
      </c>
      <c r="N85" s="41">
        <f t="shared" si="118"/>
        <v>81.18</v>
      </c>
      <c r="O85" s="117">
        <f t="shared" si="119"/>
        <v>11.6</v>
      </c>
      <c r="P85" s="117">
        <f t="shared" si="120"/>
        <v>23.19</v>
      </c>
      <c r="Q85" s="117">
        <f t="shared" si="121"/>
        <v>46.39</v>
      </c>
    </row>
    <row r="86" s="1" customFormat="1" ht="18" customHeight="1" spans="1:17">
      <c r="A86" s="10">
        <v>441881</v>
      </c>
      <c r="B86" s="10" t="s">
        <v>124</v>
      </c>
      <c r="C86" s="120">
        <v>0.85</v>
      </c>
      <c r="D86" s="10" t="s">
        <v>129</v>
      </c>
      <c r="E86" s="46">
        <v>481427</v>
      </c>
      <c r="F86" s="46">
        <v>33857</v>
      </c>
      <c r="G86" s="110">
        <f t="shared" si="111"/>
        <v>303142</v>
      </c>
      <c r="H86" s="110">
        <f t="shared" si="112"/>
        <v>27283</v>
      </c>
      <c r="I86" s="115">
        <f t="shared" si="116"/>
        <v>606.28</v>
      </c>
      <c r="J86" s="116">
        <f t="shared" si="113"/>
        <v>190.98</v>
      </c>
      <c r="K86" s="117">
        <f t="shared" si="114"/>
        <v>24.46</v>
      </c>
      <c r="L86" s="118">
        <v>60</v>
      </c>
      <c r="M86" s="118">
        <f t="shared" si="117"/>
        <v>881.72</v>
      </c>
      <c r="N86" s="41">
        <f t="shared" si="118"/>
        <v>606.28</v>
      </c>
      <c r="O86" s="117">
        <f t="shared" si="119"/>
        <v>86.61</v>
      </c>
      <c r="P86" s="117">
        <f t="shared" si="120"/>
        <v>173.22</v>
      </c>
      <c r="Q86" s="117">
        <f t="shared" si="121"/>
        <v>346.45</v>
      </c>
    </row>
    <row r="87" s="1" customFormat="1" ht="18" customHeight="1" spans="1:17">
      <c r="A87" s="10">
        <v>441882</v>
      </c>
      <c r="B87" s="10" t="s">
        <v>124</v>
      </c>
      <c r="C87" s="120">
        <v>0.85</v>
      </c>
      <c r="D87" s="10" t="s">
        <v>130</v>
      </c>
      <c r="E87" s="46">
        <v>230060</v>
      </c>
      <c r="F87" s="46">
        <v>27946</v>
      </c>
      <c r="G87" s="110">
        <f t="shared" si="111"/>
        <v>133096</v>
      </c>
      <c r="H87" s="110">
        <f t="shared" si="112"/>
        <v>11979</v>
      </c>
      <c r="I87" s="115">
        <f t="shared" si="116"/>
        <v>266.19</v>
      </c>
      <c r="J87" s="116">
        <f t="shared" si="113"/>
        <v>83.85</v>
      </c>
      <c r="K87" s="117">
        <f t="shared" si="114"/>
        <v>15.97</v>
      </c>
      <c r="L87" s="118">
        <v>60</v>
      </c>
      <c r="M87" s="118">
        <f t="shared" si="117"/>
        <v>426.01</v>
      </c>
      <c r="N87" s="41">
        <f t="shared" si="118"/>
        <v>266.19</v>
      </c>
      <c r="O87" s="117">
        <f t="shared" si="119"/>
        <v>38.03</v>
      </c>
      <c r="P87" s="117">
        <f t="shared" si="120"/>
        <v>76.05</v>
      </c>
      <c r="Q87" s="117">
        <f t="shared" si="121"/>
        <v>152.11</v>
      </c>
    </row>
    <row r="88" s="4" customFormat="1" ht="18" customHeight="1" spans="1:17">
      <c r="A88" s="22">
        <v>445100</v>
      </c>
      <c r="B88" s="22" t="s">
        <v>131</v>
      </c>
      <c r="C88" s="107"/>
      <c r="D88" s="23" t="s">
        <v>132</v>
      </c>
      <c r="E88" s="108">
        <f t="shared" ref="E88:Q88" si="122">SUM(E89:E90)</f>
        <v>577334</v>
      </c>
      <c r="F88" s="108">
        <f t="shared" si="122"/>
        <v>4652</v>
      </c>
      <c r="G88" s="108">
        <f t="shared" si="122"/>
        <v>399482</v>
      </c>
      <c r="H88" s="108">
        <f t="shared" si="122"/>
        <v>35953</v>
      </c>
      <c r="I88" s="114">
        <f t="shared" si="122"/>
        <v>798.96</v>
      </c>
      <c r="J88" s="107">
        <f t="shared" si="122"/>
        <v>251.67</v>
      </c>
      <c r="K88" s="114">
        <f t="shared" si="122"/>
        <v>16.24</v>
      </c>
      <c r="L88" s="114">
        <f t="shared" si="122"/>
        <v>85</v>
      </c>
      <c r="M88" s="114">
        <f t="shared" si="122"/>
        <v>1151.87</v>
      </c>
      <c r="N88" s="114">
        <f t="shared" si="122"/>
        <v>798.96</v>
      </c>
      <c r="O88" s="114">
        <f t="shared" si="122"/>
        <v>114.14</v>
      </c>
      <c r="P88" s="114">
        <f t="shared" si="122"/>
        <v>228.28</v>
      </c>
      <c r="Q88" s="114">
        <f t="shared" si="122"/>
        <v>456.54</v>
      </c>
    </row>
    <row r="89" s="4" customFormat="1" ht="18" customHeight="1" spans="1:17">
      <c r="A89" s="22"/>
      <c r="B89" s="22"/>
      <c r="C89" s="120">
        <v>0.85</v>
      </c>
      <c r="D89" s="10" t="s">
        <v>58</v>
      </c>
      <c r="E89" s="108"/>
      <c r="F89" s="108"/>
      <c r="G89" s="108"/>
      <c r="H89" s="108"/>
      <c r="I89" s="115">
        <f t="shared" ref="I89:I95" si="123">ROUND(G89*20/10000,2)</f>
        <v>0</v>
      </c>
      <c r="J89" s="107">
        <v>0</v>
      </c>
      <c r="K89" s="117">
        <f>ROUND(H89*0.4*10/10000,2)</f>
        <v>0</v>
      </c>
      <c r="L89" s="118">
        <v>25</v>
      </c>
      <c r="M89" s="118">
        <f t="shared" ref="M89:M95" si="124">SUM(I89:L89)</f>
        <v>25</v>
      </c>
      <c r="N89" s="41">
        <f t="shared" ref="N89:N95" si="125">I89</f>
        <v>0</v>
      </c>
      <c r="O89" s="41">
        <v>0</v>
      </c>
      <c r="P89" s="41">
        <v>0</v>
      </c>
      <c r="Q89" s="41">
        <v>0</v>
      </c>
    </row>
    <row r="90" s="1" customFormat="1" ht="18" customHeight="1" spans="1:17">
      <c r="A90" s="10">
        <v>445122</v>
      </c>
      <c r="B90" s="10" t="s">
        <v>131</v>
      </c>
      <c r="C90" s="120">
        <v>1</v>
      </c>
      <c r="D90" s="10" t="s">
        <v>133</v>
      </c>
      <c r="E90" s="46">
        <v>577334</v>
      </c>
      <c r="F90" s="46">
        <v>4652</v>
      </c>
      <c r="G90" s="110">
        <f t="shared" ref="G90:G95" si="126">ROUND(E90*0.7-F90,0)</f>
        <v>399482</v>
      </c>
      <c r="H90" s="110">
        <f t="shared" ref="H90:H95" si="127">ROUND(G90*0.09,0)</f>
        <v>35953</v>
      </c>
      <c r="I90" s="115">
        <f t="shared" si="123"/>
        <v>798.96</v>
      </c>
      <c r="J90" s="116">
        <f t="shared" ref="J90:J95" si="128">ROUND(G90*0.5*0.6*21/10000,2)</f>
        <v>251.67</v>
      </c>
      <c r="K90" s="117">
        <f t="shared" ref="K90:K95" si="129">ROUND((H90+F90)*0.4*10/10000,2)</f>
        <v>16.24</v>
      </c>
      <c r="L90" s="118">
        <v>60</v>
      </c>
      <c r="M90" s="118">
        <f t="shared" si="124"/>
        <v>1126.87</v>
      </c>
      <c r="N90" s="41">
        <f t="shared" si="125"/>
        <v>798.96</v>
      </c>
      <c r="O90" s="117">
        <f t="shared" ref="O90:O95" si="130">ROUND((E90-F90/0.7)*0.1*0.002,2)</f>
        <v>114.14</v>
      </c>
      <c r="P90" s="117">
        <f t="shared" ref="P90:P95" si="131">ROUND((E90-F90/0.7)*0.2*0.002,2)</f>
        <v>228.28</v>
      </c>
      <c r="Q90" s="117">
        <f t="shared" ref="Q90:Q95" si="132">N90-O90-P90</f>
        <v>456.54</v>
      </c>
    </row>
    <row r="91" s="4" customFormat="1" ht="18" customHeight="1" spans="1:17">
      <c r="A91" s="22">
        <v>445200</v>
      </c>
      <c r="B91" s="22" t="s">
        <v>134</v>
      </c>
      <c r="C91" s="107"/>
      <c r="D91" s="23" t="s">
        <v>135</v>
      </c>
      <c r="E91" s="108">
        <f t="shared" ref="E91:Q91" si="133">SUM(E92:E95)</f>
        <v>1945919</v>
      </c>
      <c r="F91" s="108">
        <f t="shared" si="133"/>
        <v>13897</v>
      </c>
      <c r="G91" s="108">
        <f t="shared" si="133"/>
        <v>1348247</v>
      </c>
      <c r="H91" s="108">
        <f t="shared" si="133"/>
        <v>121343</v>
      </c>
      <c r="I91" s="114">
        <f t="shared" si="133"/>
        <v>2696.5</v>
      </c>
      <c r="J91" s="107">
        <f t="shared" si="133"/>
        <v>849.4</v>
      </c>
      <c r="K91" s="114">
        <f t="shared" si="133"/>
        <v>54.09</v>
      </c>
      <c r="L91" s="114">
        <f t="shared" si="133"/>
        <v>205</v>
      </c>
      <c r="M91" s="114">
        <f t="shared" si="133"/>
        <v>3804.99</v>
      </c>
      <c r="N91" s="114">
        <f t="shared" si="133"/>
        <v>2696.5</v>
      </c>
      <c r="O91" s="114">
        <f t="shared" si="133"/>
        <v>385.21</v>
      </c>
      <c r="P91" s="114">
        <f t="shared" si="133"/>
        <v>770.43</v>
      </c>
      <c r="Q91" s="114">
        <f t="shared" si="133"/>
        <v>1540.86</v>
      </c>
    </row>
    <row r="92" s="4" customFormat="1" ht="18" customHeight="1" spans="1:17">
      <c r="A92" s="22"/>
      <c r="B92" s="22"/>
      <c r="C92" s="120">
        <v>0.85</v>
      </c>
      <c r="D92" s="10" t="s">
        <v>58</v>
      </c>
      <c r="E92" s="108"/>
      <c r="F92" s="108"/>
      <c r="G92" s="108"/>
      <c r="H92" s="108"/>
      <c r="I92" s="115">
        <f t="shared" si="123"/>
        <v>0</v>
      </c>
      <c r="J92" s="107">
        <v>0</v>
      </c>
      <c r="K92" s="117">
        <f>ROUND(H92*0.4*10/10000,2)</f>
        <v>0</v>
      </c>
      <c r="L92" s="118">
        <v>25</v>
      </c>
      <c r="M92" s="118">
        <f t="shared" si="124"/>
        <v>25</v>
      </c>
      <c r="N92" s="41">
        <f t="shared" si="125"/>
        <v>0</v>
      </c>
      <c r="O92" s="117">
        <f t="shared" si="130"/>
        <v>0</v>
      </c>
      <c r="P92" s="117">
        <f t="shared" si="131"/>
        <v>0</v>
      </c>
      <c r="Q92" s="117">
        <f t="shared" si="132"/>
        <v>0</v>
      </c>
    </row>
    <row r="93" s="1" customFormat="1" ht="18" customHeight="1" spans="1:17">
      <c r="A93" s="10">
        <v>445222</v>
      </c>
      <c r="B93" s="10" t="s">
        <v>134</v>
      </c>
      <c r="C93" s="120">
        <v>1</v>
      </c>
      <c r="D93" s="10" t="s">
        <v>136</v>
      </c>
      <c r="E93" s="46">
        <v>366294</v>
      </c>
      <c r="F93" s="46">
        <v>1978</v>
      </c>
      <c r="G93" s="110">
        <f t="shared" si="126"/>
        <v>254428</v>
      </c>
      <c r="H93" s="110">
        <f t="shared" si="127"/>
        <v>22899</v>
      </c>
      <c r="I93" s="115">
        <f t="shared" si="123"/>
        <v>508.86</v>
      </c>
      <c r="J93" s="116">
        <f t="shared" si="128"/>
        <v>160.29</v>
      </c>
      <c r="K93" s="117">
        <f t="shared" si="129"/>
        <v>9.95</v>
      </c>
      <c r="L93" s="118">
        <v>60</v>
      </c>
      <c r="M93" s="118">
        <f t="shared" si="124"/>
        <v>739.1</v>
      </c>
      <c r="N93" s="41">
        <f t="shared" si="125"/>
        <v>508.86</v>
      </c>
      <c r="O93" s="117">
        <f t="shared" si="130"/>
        <v>72.69</v>
      </c>
      <c r="P93" s="117">
        <f t="shared" si="131"/>
        <v>145.39</v>
      </c>
      <c r="Q93" s="117">
        <f t="shared" si="132"/>
        <v>290.78</v>
      </c>
    </row>
    <row r="94" s="1" customFormat="1" ht="18" customHeight="1" spans="1:17">
      <c r="A94" s="10">
        <v>445224</v>
      </c>
      <c r="B94" s="10" t="s">
        <v>134</v>
      </c>
      <c r="C94" s="120">
        <v>1</v>
      </c>
      <c r="D94" s="10" t="s">
        <v>137</v>
      </c>
      <c r="E94" s="46">
        <v>554985</v>
      </c>
      <c r="F94" s="46">
        <v>6284</v>
      </c>
      <c r="G94" s="110">
        <f t="shared" si="126"/>
        <v>382206</v>
      </c>
      <c r="H94" s="110">
        <f t="shared" si="127"/>
        <v>34399</v>
      </c>
      <c r="I94" s="115">
        <f t="shared" si="123"/>
        <v>764.41</v>
      </c>
      <c r="J94" s="116">
        <f t="shared" si="128"/>
        <v>240.79</v>
      </c>
      <c r="K94" s="117">
        <f t="shared" si="129"/>
        <v>16.27</v>
      </c>
      <c r="L94" s="118">
        <v>60</v>
      </c>
      <c r="M94" s="118">
        <f t="shared" si="124"/>
        <v>1081.47</v>
      </c>
      <c r="N94" s="41">
        <f t="shared" si="125"/>
        <v>764.41</v>
      </c>
      <c r="O94" s="117">
        <f t="shared" si="130"/>
        <v>109.2</v>
      </c>
      <c r="P94" s="117">
        <f t="shared" si="131"/>
        <v>218.4</v>
      </c>
      <c r="Q94" s="117">
        <f t="shared" si="132"/>
        <v>436.81</v>
      </c>
    </row>
    <row r="95" s="1" customFormat="1" ht="18" customHeight="1" spans="1:17">
      <c r="A95" s="10">
        <v>445281</v>
      </c>
      <c r="B95" s="10" t="s">
        <v>134</v>
      </c>
      <c r="C95" s="120">
        <v>1</v>
      </c>
      <c r="D95" s="10" t="s">
        <v>138</v>
      </c>
      <c r="E95" s="46">
        <v>1024640</v>
      </c>
      <c r="F95" s="46">
        <v>5635</v>
      </c>
      <c r="G95" s="110">
        <f t="shared" si="126"/>
        <v>711613</v>
      </c>
      <c r="H95" s="110">
        <f t="shared" si="127"/>
        <v>64045</v>
      </c>
      <c r="I95" s="115">
        <f t="shared" si="123"/>
        <v>1423.23</v>
      </c>
      <c r="J95" s="116">
        <f t="shared" si="128"/>
        <v>448.32</v>
      </c>
      <c r="K95" s="117">
        <f t="shared" si="129"/>
        <v>27.87</v>
      </c>
      <c r="L95" s="118">
        <v>60</v>
      </c>
      <c r="M95" s="118">
        <f t="shared" si="124"/>
        <v>1959.42</v>
      </c>
      <c r="N95" s="41">
        <f t="shared" si="125"/>
        <v>1423.23</v>
      </c>
      <c r="O95" s="117">
        <f t="shared" si="130"/>
        <v>203.32</v>
      </c>
      <c r="P95" s="117">
        <f t="shared" si="131"/>
        <v>406.64</v>
      </c>
      <c r="Q95" s="117">
        <f t="shared" si="132"/>
        <v>813.27</v>
      </c>
    </row>
    <row r="96" s="4" customFormat="1" ht="18" customHeight="1" spans="1:17">
      <c r="A96" s="22">
        <v>445300</v>
      </c>
      <c r="B96" s="22" t="s">
        <v>139</v>
      </c>
      <c r="C96" s="107"/>
      <c r="D96" s="23" t="s">
        <v>140</v>
      </c>
      <c r="E96" s="108">
        <f t="shared" ref="E96:Q96" si="134">SUM(E97:E100)</f>
        <v>942096</v>
      </c>
      <c r="F96" s="108">
        <f t="shared" si="134"/>
        <v>68637</v>
      </c>
      <c r="G96" s="108">
        <f t="shared" si="134"/>
        <v>590830</v>
      </c>
      <c r="H96" s="108">
        <f t="shared" si="134"/>
        <v>53175</v>
      </c>
      <c r="I96" s="114">
        <f t="shared" si="134"/>
        <v>1181.66</v>
      </c>
      <c r="J96" s="107">
        <f t="shared" si="134"/>
        <v>372.21</v>
      </c>
      <c r="K96" s="114">
        <f t="shared" si="134"/>
        <v>48.72</v>
      </c>
      <c r="L96" s="114">
        <f t="shared" si="134"/>
        <v>205</v>
      </c>
      <c r="M96" s="114">
        <f t="shared" si="134"/>
        <v>1807.59</v>
      </c>
      <c r="N96" s="114">
        <f t="shared" si="134"/>
        <v>1181.66</v>
      </c>
      <c r="O96" s="114">
        <f t="shared" si="134"/>
        <v>168.81</v>
      </c>
      <c r="P96" s="114">
        <f t="shared" si="134"/>
        <v>337.62</v>
      </c>
      <c r="Q96" s="114">
        <f t="shared" si="134"/>
        <v>675.23</v>
      </c>
    </row>
    <row r="97" s="4" customFormat="1" ht="18" customHeight="1" spans="1:17">
      <c r="A97" s="22"/>
      <c r="B97" s="22"/>
      <c r="C97" s="120">
        <v>0.85</v>
      </c>
      <c r="D97" s="10" t="s">
        <v>58</v>
      </c>
      <c r="E97" s="108"/>
      <c r="F97" s="108"/>
      <c r="G97" s="108"/>
      <c r="H97" s="108"/>
      <c r="I97" s="115">
        <f t="shared" ref="I97:I100" si="135">ROUND(G97*20/10000,2)</f>
        <v>0</v>
      </c>
      <c r="J97" s="107">
        <v>0</v>
      </c>
      <c r="K97" s="117">
        <f>ROUND(H97*0.4*10/10000,2)</f>
        <v>0</v>
      </c>
      <c r="L97" s="118">
        <v>25</v>
      </c>
      <c r="M97" s="118">
        <f t="shared" ref="M97:M100" si="136">SUM(I97:L97)</f>
        <v>25</v>
      </c>
      <c r="N97" s="41">
        <f t="shared" ref="N97:N100" si="137">I97</f>
        <v>0</v>
      </c>
      <c r="O97" s="117">
        <f t="shared" ref="O97:O100" si="138">ROUND((E97-F97/0.7)*0.1*0.002,2)</f>
        <v>0</v>
      </c>
      <c r="P97" s="117">
        <f t="shared" ref="P97:P100" si="139">ROUND((E97-F97/0.7)*0.2*0.002,2)</f>
        <v>0</v>
      </c>
      <c r="Q97" s="117">
        <f t="shared" ref="Q97:Q100" si="140">N97-O97-P97</f>
        <v>0</v>
      </c>
    </row>
    <row r="98" s="1" customFormat="1" ht="18" customHeight="1" spans="1:17">
      <c r="A98" s="10">
        <v>445321</v>
      </c>
      <c r="B98" s="10" t="s">
        <v>139</v>
      </c>
      <c r="C98" s="120">
        <v>0.85</v>
      </c>
      <c r="D98" s="10" t="s">
        <v>141</v>
      </c>
      <c r="E98" s="46">
        <v>271061</v>
      </c>
      <c r="F98" s="46">
        <v>15657</v>
      </c>
      <c r="G98" s="110">
        <f t="shared" ref="G98:G100" si="141">ROUND(E98*0.7-F98,0)</f>
        <v>174086</v>
      </c>
      <c r="H98" s="110">
        <f t="shared" ref="H98:H100" si="142">ROUND(G98*0.09,0)</f>
        <v>15668</v>
      </c>
      <c r="I98" s="115">
        <f t="shared" si="135"/>
        <v>348.17</v>
      </c>
      <c r="J98" s="116">
        <f t="shared" ref="J98:J100" si="143">ROUND(G98*0.5*0.6*21/10000,2)</f>
        <v>109.67</v>
      </c>
      <c r="K98" s="117">
        <f t="shared" ref="K98:K100" si="144">ROUND((H98+F98)*0.4*10/10000,2)</f>
        <v>12.53</v>
      </c>
      <c r="L98" s="118">
        <v>60</v>
      </c>
      <c r="M98" s="118">
        <f t="shared" si="136"/>
        <v>530.37</v>
      </c>
      <c r="N98" s="41">
        <f t="shared" si="137"/>
        <v>348.17</v>
      </c>
      <c r="O98" s="117">
        <f t="shared" si="138"/>
        <v>49.74</v>
      </c>
      <c r="P98" s="117">
        <f t="shared" si="139"/>
        <v>99.48</v>
      </c>
      <c r="Q98" s="117">
        <f t="shared" si="140"/>
        <v>198.95</v>
      </c>
    </row>
    <row r="99" s="1" customFormat="1" ht="18" customHeight="1" spans="1:17">
      <c r="A99" s="10">
        <v>445322</v>
      </c>
      <c r="B99" s="10" t="s">
        <v>139</v>
      </c>
      <c r="C99" s="120">
        <v>0.85</v>
      </c>
      <c r="D99" s="10" t="s">
        <v>142</v>
      </c>
      <c r="E99" s="46">
        <v>217762</v>
      </c>
      <c r="F99" s="46">
        <v>16410</v>
      </c>
      <c r="G99" s="110">
        <f t="shared" si="141"/>
        <v>136023</v>
      </c>
      <c r="H99" s="110">
        <f t="shared" si="142"/>
        <v>12242</v>
      </c>
      <c r="I99" s="115">
        <f t="shared" si="135"/>
        <v>272.05</v>
      </c>
      <c r="J99" s="116">
        <f t="shared" si="143"/>
        <v>85.69</v>
      </c>
      <c r="K99" s="117">
        <f t="shared" si="144"/>
        <v>11.46</v>
      </c>
      <c r="L99" s="118">
        <v>60</v>
      </c>
      <c r="M99" s="118">
        <f t="shared" si="136"/>
        <v>429.2</v>
      </c>
      <c r="N99" s="41">
        <f t="shared" si="137"/>
        <v>272.05</v>
      </c>
      <c r="O99" s="117">
        <f t="shared" si="138"/>
        <v>38.86</v>
      </c>
      <c r="P99" s="117">
        <f t="shared" si="139"/>
        <v>77.73</v>
      </c>
      <c r="Q99" s="117">
        <f t="shared" si="140"/>
        <v>155.46</v>
      </c>
    </row>
    <row r="100" s="1" customFormat="1" ht="18" customHeight="1" spans="1:17">
      <c r="A100" s="10">
        <v>445381</v>
      </c>
      <c r="B100" s="10" t="s">
        <v>139</v>
      </c>
      <c r="C100" s="120">
        <v>0.85</v>
      </c>
      <c r="D100" s="10" t="s">
        <v>143</v>
      </c>
      <c r="E100" s="46">
        <v>453273</v>
      </c>
      <c r="F100" s="46">
        <v>36570</v>
      </c>
      <c r="G100" s="110">
        <f t="shared" si="141"/>
        <v>280721</v>
      </c>
      <c r="H100" s="110">
        <f t="shared" si="142"/>
        <v>25265</v>
      </c>
      <c r="I100" s="115">
        <f t="shared" si="135"/>
        <v>561.44</v>
      </c>
      <c r="J100" s="116">
        <f t="shared" si="143"/>
        <v>176.85</v>
      </c>
      <c r="K100" s="117">
        <f t="shared" si="144"/>
        <v>24.73</v>
      </c>
      <c r="L100" s="118">
        <v>60</v>
      </c>
      <c r="M100" s="118">
        <f t="shared" si="136"/>
        <v>823.02</v>
      </c>
      <c r="N100" s="41">
        <f t="shared" si="137"/>
        <v>561.44</v>
      </c>
      <c r="O100" s="117">
        <f t="shared" si="138"/>
        <v>80.21</v>
      </c>
      <c r="P100" s="117">
        <f t="shared" si="139"/>
        <v>160.41</v>
      </c>
      <c r="Q100" s="117">
        <f t="shared" si="140"/>
        <v>320.82</v>
      </c>
    </row>
    <row r="101" s="1" customFormat="1" spans="3:14">
      <c r="C101" s="104"/>
      <c r="E101" s="76"/>
      <c r="F101" s="76"/>
      <c r="G101" s="76"/>
      <c r="H101" s="76"/>
      <c r="I101" s="104"/>
      <c r="J101" s="104"/>
      <c r="K101" s="104"/>
      <c r="L101" s="104"/>
      <c r="M101" s="104"/>
      <c r="N101" s="104"/>
    </row>
    <row r="102" s="1" customFormat="1" ht="116" customHeight="1" spans="3:17">
      <c r="C102" s="111"/>
      <c r="D102" s="111" t="s">
        <v>160</v>
      </c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</row>
    <row r="103" s="1" customFormat="1" ht="16" customHeight="1" spans="3:14">
      <c r="C103" s="112"/>
      <c r="D103" s="113"/>
      <c r="E103" s="113"/>
      <c r="F103" s="113"/>
      <c r="G103" s="113"/>
      <c r="H103" s="113"/>
      <c r="I103" s="112"/>
      <c r="J103" s="112"/>
      <c r="K103" s="112"/>
      <c r="L103" s="112"/>
      <c r="M103" s="112"/>
      <c r="N103" s="112"/>
    </row>
    <row r="104" s="1" customFormat="1" ht="16" customHeight="1" spans="3:14">
      <c r="C104" s="112"/>
      <c r="D104" s="113"/>
      <c r="E104" s="113"/>
      <c r="F104" s="113"/>
      <c r="G104" s="113"/>
      <c r="H104" s="113"/>
      <c r="I104" s="112"/>
      <c r="J104" s="112"/>
      <c r="K104" s="112"/>
      <c r="L104" s="112"/>
      <c r="M104" s="112"/>
      <c r="N104" s="112"/>
    </row>
    <row r="105" s="1" customFormat="1" ht="16" customHeight="1" spans="3:14">
      <c r="C105" s="112"/>
      <c r="D105" s="113"/>
      <c r="E105" s="113"/>
      <c r="F105" s="113"/>
      <c r="G105" s="113"/>
      <c r="H105" s="113"/>
      <c r="I105" s="112"/>
      <c r="J105" s="112"/>
      <c r="K105" s="112"/>
      <c r="L105" s="112"/>
      <c r="M105" s="112"/>
      <c r="N105" s="112"/>
    </row>
    <row r="106" s="1" customFormat="1" ht="16" customHeight="1" spans="3:14">
      <c r="C106" s="112"/>
      <c r="D106" s="113"/>
      <c r="E106" s="113"/>
      <c r="F106" s="113"/>
      <c r="G106" s="113"/>
      <c r="H106" s="113"/>
      <c r="I106" s="112"/>
      <c r="J106" s="112"/>
      <c r="K106" s="112"/>
      <c r="L106" s="112"/>
      <c r="M106" s="112"/>
      <c r="N106" s="112"/>
    </row>
    <row r="107" s="1" customFormat="1" ht="16" customHeight="1" spans="3:14">
      <c r="C107" s="112"/>
      <c r="D107" s="113"/>
      <c r="E107" s="113"/>
      <c r="F107" s="113"/>
      <c r="G107" s="113"/>
      <c r="H107" s="113"/>
      <c r="I107" s="112"/>
      <c r="J107" s="112"/>
      <c r="K107" s="112"/>
      <c r="L107" s="112"/>
      <c r="M107" s="112"/>
      <c r="N107" s="112"/>
    </row>
    <row r="108" s="1" customFormat="1" ht="16" customHeight="1" spans="3:14">
      <c r="C108" s="112"/>
      <c r="D108" s="113"/>
      <c r="E108" s="113"/>
      <c r="F108" s="113"/>
      <c r="G108" s="113"/>
      <c r="H108" s="113"/>
      <c r="I108" s="112"/>
      <c r="J108" s="112"/>
      <c r="K108" s="112"/>
      <c r="L108" s="112"/>
      <c r="M108" s="112"/>
      <c r="N108" s="112"/>
    </row>
    <row r="109" s="1" customFormat="1" ht="16" customHeight="1" spans="3:14">
      <c r="C109" s="112"/>
      <c r="D109" s="113"/>
      <c r="E109" s="113"/>
      <c r="F109" s="113"/>
      <c r="G109" s="113"/>
      <c r="H109" s="113"/>
      <c r="I109" s="112"/>
      <c r="J109" s="112"/>
      <c r="K109" s="112"/>
      <c r="L109" s="112"/>
      <c r="M109" s="112"/>
      <c r="N109" s="112"/>
    </row>
    <row r="110" s="1" customFormat="1" spans="3:14">
      <c r="C110" s="104"/>
      <c r="E110" s="76"/>
      <c r="F110" s="76"/>
      <c r="G110" s="76"/>
      <c r="H110" s="76"/>
      <c r="I110" s="104"/>
      <c r="J110" s="104"/>
      <c r="K110" s="104"/>
      <c r="L110" s="104"/>
      <c r="M110" s="104"/>
      <c r="N110" s="104"/>
    </row>
  </sheetData>
  <mergeCells count="3">
    <mergeCell ref="D1:Q1"/>
    <mergeCell ref="N2:Q2"/>
    <mergeCell ref="D102:Q10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9"/>
  <sheetViews>
    <sheetView topLeftCell="I1" workbookViewId="0">
      <selection activeCell="L16" sqref="L16"/>
    </sheetView>
  </sheetViews>
  <sheetFormatPr defaultColWidth="9" defaultRowHeight="15"/>
  <cols>
    <col min="1" max="1" width="9" style="1" hidden="1" customWidth="1"/>
    <col min="2" max="2" width="9.50833333333333" style="1" hidden="1" customWidth="1"/>
    <col min="3" max="3" width="11.375" style="104" customWidth="1"/>
    <col min="4" max="4" width="20.875" style="1" customWidth="1"/>
    <col min="5" max="5" width="9.25833333333333" style="76" customWidth="1"/>
    <col min="6" max="6" width="11.75" style="76" customWidth="1"/>
    <col min="7" max="7" width="13.5083333333333" style="76" customWidth="1"/>
    <col min="8" max="8" width="13.875" style="76" customWidth="1"/>
    <col min="9" max="9" width="14.375" style="104" customWidth="1"/>
    <col min="10" max="11" width="16.875" style="104" customWidth="1"/>
    <col min="12" max="13" width="13.25" style="104" customWidth="1"/>
    <col min="14" max="14" width="12.25" style="104" customWidth="1"/>
    <col min="15" max="17" width="11.625" style="90" customWidth="1"/>
    <col min="19" max="19" width="9.375"/>
  </cols>
  <sheetData>
    <row r="1" s="1" customFormat="1" ht="29" customHeight="1" spans="3:17">
      <c r="C1" s="6"/>
      <c r="D1" s="6" t="s">
        <v>0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50" customHeight="1" spans="1:17">
      <c r="A2" s="105" t="s">
        <v>5</v>
      </c>
      <c r="B2" s="105" t="s">
        <v>6</v>
      </c>
      <c r="C2" s="13" t="s">
        <v>15</v>
      </c>
      <c r="D2" s="8" t="s">
        <v>1</v>
      </c>
      <c r="E2" s="8" t="s">
        <v>7</v>
      </c>
      <c r="F2" s="8" t="s">
        <v>8</v>
      </c>
      <c r="G2" s="8" t="s">
        <v>9</v>
      </c>
      <c r="H2" s="8" t="s">
        <v>150</v>
      </c>
      <c r="I2" s="13" t="s">
        <v>151</v>
      </c>
      <c r="J2" s="13" t="s">
        <v>12</v>
      </c>
      <c r="K2" s="13" t="s">
        <v>13</v>
      </c>
      <c r="L2" s="13" t="s">
        <v>152</v>
      </c>
      <c r="M2" s="13" t="s">
        <v>153</v>
      </c>
      <c r="N2" s="8" t="s">
        <v>154</v>
      </c>
      <c r="O2" s="8"/>
      <c r="P2" s="8"/>
      <c r="Q2" s="8"/>
    </row>
    <row r="3" s="75" customFormat="1" ht="43" customHeight="1" spans="1:17">
      <c r="A3" s="106"/>
      <c r="B3" s="106"/>
      <c r="C3" s="13" t="s">
        <v>34</v>
      </c>
      <c r="D3" s="8" t="s">
        <v>25</v>
      </c>
      <c r="E3" s="8" t="s">
        <v>26</v>
      </c>
      <c r="F3" s="8" t="s">
        <v>27</v>
      </c>
      <c r="G3" s="8" t="s">
        <v>28</v>
      </c>
      <c r="H3" s="8" t="s">
        <v>29</v>
      </c>
      <c r="I3" s="13" t="s">
        <v>30</v>
      </c>
      <c r="J3" s="13" t="s">
        <v>31</v>
      </c>
      <c r="K3" s="13" t="s">
        <v>155</v>
      </c>
      <c r="L3" s="13" t="s">
        <v>43</v>
      </c>
      <c r="M3" s="13" t="s">
        <v>156</v>
      </c>
      <c r="N3" s="13" t="s">
        <v>157</v>
      </c>
      <c r="O3" s="42" t="s">
        <v>146</v>
      </c>
      <c r="P3" s="42" t="s">
        <v>158</v>
      </c>
      <c r="Q3" s="42" t="s">
        <v>159</v>
      </c>
    </row>
    <row r="4" s="2" customFormat="1" ht="18" customHeight="1" spans="1:19">
      <c r="A4" s="15"/>
      <c r="B4" s="15"/>
      <c r="C4" s="119"/>
      <c r="D4" s="16" t="s">
        <v>47</v>
      </c>
      <c r="E4" s="40">
        <f t="shared" ref="E4:Q4" si="0">E5+E13</f>
        <v>34312998</v>
      </c>
      <c r="F4" s="40">
        <f t="shared" si="0"/>
        <v>943721</v>
      </c>
      <c r="G4" s="40">
        <f t="shared" si="0"/>
        <v>22975382</v>
      </c>
      <c r="H4" s="40">
        <f t="shared" si="0"/>
        <v>2067785</v>
      </c>
      <c r="I4" s="41">
        <f t="shared" si="0"/>
        <v>45950.75</v>
      </c>
      <c r="J4" s="41">
        <f t="shared" si="0"/>
        <v>14474.49</v>
      </c>
      <c r="K4" s="41">
        <f t="shared" si="0"/>
        <v>1204.61</v>
      </c>
      <c r="L4" s="41">
        <f t="shared" si="0"/>
        <v>6214</v>
      </c>
      <c r="M4" s="41">
        <f t="shared" si="0"/>
        <v>67843.85</v>
      </c>
      <c r="N4" s="41">
        <f t="shared" si="0"/>
        <v>46629.75</v>
      </c>
      <c r="O4" s="41">
        <f t="shared" si="0"/>
        <v>6895.94</v>
      </c>
      <c r="P4" s="41">
        <f t="shared" si="0"/>
        <v>13378.97</v>
      </c>
      <c r="Q4" s="41">
        <f t="shared" si="0"/>
        <v>26354.84</v>
      </c>
      <c r="S4" s="2">
        <f>M4-N4</f>
        <v>21214.1</v>
      </c>
    </row>
    <row r="5" s="2" customFormat="1" ht="18" customHeight="1" spans="1:17">
      <c r="A5" s="15"/>
      <c r="B5" s="15"/>
      <c r="C5" s="40"/>
      <c r="D5" s="15" t="s">
        <v>48</v>
      </c>
      <c r="E5" s="40"/>
      <c r="F5" s="40"/>
      <c r="G5" s="40"/>
      <c r="H5" s="40"/>
      <c r="I5" s="41"/>
      <c r="J5" s="41"/>
      <c r="K5" s="41"/>
      <c r="L5" s="41">
        <f t="shared" ref="L5:Q5" si="1">SUM(L6:L12)</f>
        <v>679</v>
      </c>
      <c r="M5" s="41">
        <f t="shared" si="1"/>
        <v>679</v>
      </c>
      <c r="N5" s="41">
        <f t="shared" si="1"/>
        <v>679</v>
      </c>
      <c r="O5" s="41">
        <f t="shared" si="1"/>
        <v>303</v>
      </c>
      <c r="P5" s="41">
        <f t="shared" si="1"/>
        <v>193</v>
      </c>
      <c r="Q5" s="41">
        <f t="shared" si="1"/>
        <v>183</v>
      </c>
    </row>
    <row r="6" s="2" customFormat="1" ht="18" customHeight="1" spans="1:17">
      <c r="A6" s="15"/>
      <c r="B6" s="15"/>
      <c r="C6" s="120">
        <v>1</v>
      </c>
      <c r="D6" s="18" t="s">
        <v>49</v>
      </c>
      <c r="E6" s="40"/>
      <c r="F6" s="40"/>
      <c r="G6" s="40"/>
      <c r="H6" s="40"/>
      <c r="I6" s="41"/>
      <c r="J6" s="41"/>
      <c r="K6" s="41"/>
      <c r="L6" s="118">
        <v>120</v>
      </c>
      <c r="M6" s="118">
        <f t="shared" ref="M6:M12" si="2">SUM(I6:L6)</f>
        <v>120</v>
      </c>
      <c r="N6" s="41">
        <f t="shared" ref="N6:N12" si="3">L6</f>
        <v>120</v>
      </c>
      <c r="O6" s="118">
        <v>50</v>
      </c>
      <c r="P6" s="118">
        <v>40</v>
      </c>
      <c r="Q6" s="118">
        <v>30</v>
      </c>
    </row>
    <row r="7" s="3" customFormat="1" ht="18" customHeight="1" spans="1:17">
      <c r="A7" s="18"/>
      <c r="B7" s="18"/>
      <c r="C7" s="120">
        <v>1</v>
      </c>
      <c r="D7" s="18" t="s">
        <v>50</v>
      </c>
      <c r="E7" s="121"/>
      <c r="F7" s="121"/>
      <c r="G7" s="121"/>
      <c r="H7" s="121"/>
      <c r="I7" s="118"/>
      <c r="J7" s="118"/>
      <c r="K7" s="118"/>
      <c r="L7" s="118">
        <v>100</v>
      </c>
      <c r="M7" s="118">
        <f t="shared" si="2"/>
        <v>100</v>
      </c>
      <c r="N7" s="41">
        <f t="shared" si="3"/>
        <v>100</v>
      </c>
      <c r="O7" s="118">
        <v>50</v>
      </c>
      <c r="P7" s="118">
        <v>20</v>
      </c>
      <c r="Q7" s="118">
        <v>30</v>
      </c>
    </row>
    <row r="8" s="3" customFormat="1" ht="18" customHeight="1" spans="1:17">
      <c r="A8" s="18"/>
      <c r="B8" s="18"/>
      <c r="C8" s="120">
        <v>1</v>
      </c>
      <c r="D8" s="18" t="s">
        <v>51</v>
      </c>
      <c r="E8" s="121"/>
      <c r="F8" s="121"/>
      <c r="G8" s="121"/>
      <c r="H8" s="121"/>
      <c r="I8" s="118"/>
      <c r="J8" s="118"/>
      <c r="K8" s="118"/>
      <c r="L8" s="118">
        <v>259</v>
      </c>
      <c r="M8" s="118">
        <f t="shared" si="2"/>
        <v>259</v>
      </c>
      <c r="N8" s="41">
        <f t="shared" si="3"/>
        <v>259</v>
      </c>
      <c r="O8" s="118">
        <v>89</v>
      </c>
      <c r="P8" s="118">
        <v>90</v>
      </c>
      <c r="Q8" s="118">
        <v>80</v>
      </c>
    </row>
    <row r="9" s="3" customFormat="1" ht="18" customHeight="1" spans="1:17">
      <c r="A9" s="18"/>
      <c r="B9" s="18"/>
      <c r="C9" s="120">
        <v>1</v>
      </c>
      <c r="D9" s="18" t="s">
        <v>149</v>
      </c>
      <c r="E9" s="121"/>
      <c r="F9" s="121"/>
      <c r="G9" s="121"/>
      <c r="H9" s="121"/>
      <c r="I9" s="118"/>
      <c r="J9" s="118"/>
      <c r="K9" s="118"/>
      <c r="L9" s="118">
        <v>20</v>
      </c>
      <c r="M9" s="118">
        <f t="shared" si="2"/>
        <v>20</v>
      </c>
      <c r="N9" s="41">
        <f t="shared" si="3"/>
        <v>20</v>
      </c>
      <c r="O9" s="118">
        <v>14</v>
      </c>
      <c r="P9" s="118">
        <v>3</v>
      </c>
      <c r="Q9" s="118">
        <v>3</v>
      </c>
    </row>
    <row r="10" s="3" customFormat="1" ht="18" customHeight="1" spans="1:17">
      <c r="A10" s="18"/>
      <c r="B10" s="18"/>
      <c r="C10" s="120">
        <v>1</v>
      </c>
      <c r="D10" s="18" t="s">
        <v>52</v>
      </c>
      <c r="E10" s="121"/>
      <c r="F10" s="121"/>
      <c r="G10" s="121"/>
      <c r="H10" s="121"/>
      <c r="I10" s="118"/>
      <c r="J10" s="118"/>
      <c r="K10" s="118"/>
      <c r="L10" s="118">
        <v>80</v>
      </c>
      <c r="M10" s="118">
        <f t="shared" si="2"/>
        <v>80</v>
      </c>
      <c r="N10" s="41">
        <f t="shared" si="3"/>
        <v>80</v>
      </c>
      <c r="O10" s="118">
        <v>40</v>
      </c>
      <c r="P10" s="118">
        <v>20</v>
      </c>
      <c r="Q10" s="118">
        <v>20</v>
      </c>
    </row>
    <row r="11" s="3" customFormat="1" ht="18" customHeight="1" spans="1:17">
      <c r="A11" s="18"/>
      <c r="B11" s="18"/>
      <c r="C11" s="120">
        <v>1</v>
      </c>
      <c r="D11" s="18" t="s">
        <v>53</v>
      </c>
      <c r="E11" s="121"/>
      <c r="F11" s="121"/>
      <c r="G11" s="121"/>
      <c r="H11" s="121"/>
      <c r="I11" s="118"/>
      <c r="J11" s="118"/>
      <c r="K11" s="118"/>
      <c r="L11" s="118">
        <v>50</v>
      </c>
      <c r="M11" s="118">
        <f t="shared" si="2"/>
        <v>50</v>
      </c>
      <c r="N11" s="41">
        <f t="shared" si="3"/>
        <v>50</v>
      </c>
      <c r="O11" s="118">
        <v>30</v>
      </c>
      <c r="P11" s="118">
        <v>10</v>
      </c>
      <c r="Q11" s="118">
        <v>10</v>
      </c>
    </row>
    <row r="12" s="3" customFormat="1" ht="18" customHeight="1" spans="1:17">
      <c r="A12" s="18"/>
      <c r="B12" s="18"/>
      <c r="C12" s="120">
        <v>1</v>
      </c>
      <c r="D12" s="18" t="s">
        <v>54</v>
      </c>
      <c r="E12" s="121"/>
      <c r="F12" s="121"/>
      <c r="G12" s="121"/>
      <c r="H12" s="121"/>
      <c r="I12" s="118"/>
      <c r="J12" s="118"/>
      <c r="K12" s="118"/>
      <c r="L12" s="118">
        <v>50</v>
      </c>
      <c r="M12" s="118">
        <f t="shared" si="2"/>
        <v>50</v>
      </c>
      <c r="N12" s="41">
        <f t="shared" si="3"/>
        <v>50</v>
      </c>
      <c r="O12" s="118">
        <v>30</v>
      </c>
      <c r="P12" s="118">
        <v>10</v>
      </c>
      <c r="Q12" s="118">
        <v>10</v>
      </c>
    </row>
    <row r="13" s="2" customFormat="1" ht="18" customHeight="1" spans="1:17">
      <c r="A13" s="15"/>
      <c r="B13" s="15"/>
      <c r="C13" s="107"/>
      <c r="D13" s="15" t="s">
        <v>55</v>
      </c>
      <c r="E13" s="108">
        <f t="shared" ref="E13:Q13" si="4">E14+E26+E35+E41+E52+E59+E66+E71+E81+E87+E95+E111+E116+E123+E101</f>
        <v>34312998</v>
      </c>
      <c r="F13" s="108">
        <f t="shared" si="4"/>
        <v>943721</v>
      </c>
      <c r="G13" s="108">
        <f t="shared" si="4"/>
        <v>22975382</v>
      </c>
      <c r="H13" s="108">
        <f t="shared" si="4"/>
        <v>2067785</v>
      </c>
      <c r="I13" s="114">
        <f t="shared" si="4"/>
        <v>45950.75</v>
      </c>
      <c r="J13" s="107">
        <f t="shared" si="4"/>
        <v>14474.49</v>
      </c>
      <c r="K13" s="114">
        <f t="shared" si="4"/>
        <v>1204.61</v>
      </c>
      <c r="L13" s="114">
        <f t="shared" si="4"/>
        <v>5535</v>
      </c>
      <c r="M13" s="114">
        <f t="shared" si="4"/>
        <v>67164.85</v>
      </c>
      <c r="N13" s="114">
        <f t="shared" si="4"/>
        <v>45950.75</v>
      </c>
      <c r="O13" s="114">
        <f t="shared" si="4"/>
        <v>6592.94</v>
      </c>
      <c r="P13" s="114">
        <f t="shared" si="4"/>
        <v>13185.97</v>
      </c>
      <c r="Q13" s="114">
        <f t="shared" si="4"/>
        <v>26171.84</v>
      </c>
    </row>
    <row r="14" s="4" customFormat="1" ht="18" customHeight="1" spans="1:17">
      <c r="A14" s="22">
        <v>440200</v>
      </c>
      <c r="B14" s="22" t="s">
        <v>56</v>
      </c>
      <c r="C14" s="107"/>
      <c r="D14" s="23" t="s">
        <v>57</v>
      </c>
      <c r="E14" s="108">
        <f t="shared" ref="E14:Q14" si="5">SUM(E15:E25)</f>
        <v>1765985</v>
      </c>
      <c r="F14" s="108">
        <f t="shared" si="5"/>
        <v>49420</v>
      </c>
      <c r="G14" s="108">
        <f t="shared" si="5"/>
        <v>1186771</v>
      </c>
      <c r="H14" s="108">
        <f t="shared" si="5"/>
        <v>106807</v>
      </c>
      <c r="I14" s="114">
        <f t="shared" si="5"/>
        <v>2373.54</v>
      </c>
      <c r="J14" s="107">
        <f t="shared" si="5"/>
        <v>747.66</v>
      </c>
      <c r="K14" s="114">
        <f t="shared" si="5"/>
        <v>62.49</v>
      </c>
      <c r="L14" s="114">
        <f t="shared" si="5"/>
        <v>625</v>
      </c>
      <c r="M14" s="114">
        <f t="shared" si="5"/>
        <v>3808.69</v>
      </c>
      <c r="N14" s="114">
        <f t="shared" si="5"/>
        <v>2373.54</v>
      </c>
      <c r="O14" s="114">
        <f t="shared" si="5"/>
        <v>339.07</v>
      </c>
      <c r="P14" s="114">
        <f t="shared" si="5"/>
        <v>678.15</v>
      </c>
      <c r="Q14" s="114">
        <f t="shared" si="5"/>
        <v>1356.32</v>
      </c>
    </row>
    <row r="15" s="4" customFormat="1" ht="18" customHeight="1" spans="1:17">
      <c r="A15" s="22"/>
      <c r="B15" s="22"/>
      <c r="C15" s="120">
        <v>0.85</v>
      </c>
      <c r="D15" s="45" t="s">
        <v>58</v>
      </c>
      <c r="E15" s="108"/>
      <c r="F15" s="108"/>
      <c r="G15" s="108"/>
      <c r="H15" s="108"/>
      <c r="I15" s="114"/>
      <c r="J15" s="116">
        <v>0</v>
      </c>
      <c r="K15" s="117">
        <v>0</v>
      </c>
      <c r="L15" s="118">
        <v>25</v>
      </c>
      <c r="M15" s="118">
        <f t="shared" ref="M15:M25" si="6">SUM(I15:L15)</f>
        <v>25</v>
      </c>
      <c r="N15" s="41">
        <f t="shared" ref="N15:N25" si="7">I15</f>
        <v>0</v>
      </c>
      <c r="O15" s="114">
        <v>0</v>
      </c>
      <c r="P15" s="114">
        <v>0</v>
      </c>
      <c r="Q15" s="114">
        <v>0</v>
      </c>
    </row>
    <row r="16" s="4" customFormat="1" ht="18" customHeight="1" spans="1:17">
      <c r="A16" s="22"/>
      <c r="B16" s="22"/>
      <c r="C16" s="109" t="s">
        <v>161</v>
      </c>
      <c r="D16" s="45" t="s">
        <v>162</v>
      </c>
      <c r="E16" s="46">
        <v>245150</v>
      </c>
      <c r="F16" s="108"/>
      <c r="G16" s="110">
        <f>ROUND(E16*0.7-F16,0)</f>
        <v>171605</v>
      </c>
      <c r="H16" s="110">
        <f>ROUND(G16*0.09,0)</f>
        <v>15444</v>
      </c>
      <c r="I16" s="115">
        <f>ROUND(G16*20/10000,2)</f>
        <v>343.21</v>
      </c>
      <c r="J16" s="116">
        <f>ROUND(G16*0.5*0.6*21/10000,2)</f>
        <v>108.11</v>
      </c>
      <c r="K16" s="117">
        <f>ROUND((H16+F16)*0.4*10/10000,2)</f>
        <v>6.18</v>
      </c>
      <c r="L16" s="118">
        <v>60</v>
      </c>
      <c r="M16" s="118">
        <f t="shared" si="6"/>
        <v>517.5</v>
      </c>
      <c r="N16" s="41">
        <f t="shared" si="7"/>
        <v>343.21</v>
      </c>
      <c r="O16" s="117">
        <f>ROUND((E16-F16/0.7)*0.1*0.002,2)</f>
        <v>49.03</v>
      </c>
      <c r="P16" s="117">
        <f>ROUND((E16-F16/0.7)*0.2*0.002,2)</f>
        <v>98.06</v>
      </c>
      <c r="Q16" s="117">
        <f>N16-O16-P16</f>
        <v>196.12</v>
      </c>
    </row>
    <row r="17" s="4" customFormat="1" ht="18" customHeight="1" spans="1:17">
      <c r="A17" s="22"/>
      <c r="B17" s="22"/>
      <c r="C17" s="109" t="s">
        <v>161</v>
      </c>
      <c r="D17" s="45" t="s">
        <v>163</v>
      </c>
      <c r="E17" s="46">
        <v>253974</v>
      </c>
      <c r="F17" s="108"/>
      <c r="G17" s="110">
        <f t="shared" ref="G17:G25" si="8">ROUND(E17*0.7-F17,0)</f>
        <v>177782</v>
      </c>
      <c r="H17" s="110">
        <f t="shared" ref="H17:H25" si="9">ROUND(G17*0.09,0)</f>
        <v>16000</v>
      </c>
      <c r="I17" s="115">
        <f t="shared" ref="I17:I25" si="10">ROUND(G17*20/10000,2)</f>
        <v>355.56</v>
      </c>
      <c r="J17" s="116">
        <f t="shared" ref="J17:J25" si="11">ROUND(G17*0.5*0.6*21/10000,2)</f>
        <v>112</v>
      </c>
      <c r="K17" s="117">
        <f t="shared" ref="K17:K25" si="12">ROUND((H17+F17)*0.4*10/10000,2)</f>
        <v>6.4</v>
      </c>
      <c r="L17" s="118">
        <v>60</v>
      </c>
      <c r="M17" s="118">
        <f t="shared" si="6"/>
        <v>533.96</v>
      </c>
      <c r="N17" s="41">
        <f t="shared" si="7"/>
        <v>355.56</v>
      </c>
      <c r="O17" s="117">
        <f>ROUND((E17-F17/0.7)*0.1*0.002,2)</f>
        <v>50.79</v>
      </c>
      <c r="P17" s="117">
        <f>ROUND((E17-F17/0.7)*0.2*0.002,2)</f>
        <v>101.59</v>
      </c>
      <c r="Q17" s="117">
        <f>N17-O17-P17</f>
        <v>203.18</v>
      </c>
    </row>
    <row r="18" s="4" customFormat="1" ht="18" customHeight="1" spans="1:17">
      <c r="A18" s="22"/>
      <c r="B18" s="22"/>
      <c r="C18" s="109" t="s">
        <v>161</v>
      </c>
      <c r="D18" s="45" t="s">
        <v>164</v>
      </c>
      <c r="E18" s="46">
        <v>192701</v>
      </c>
      <c r="F18" s="108"/>
      <c r="G18" s="110">
        <f t="shared" si="8"/>
        <v>134891</v>
      </c>
      <c r="H18" s="110">
        <f t="shared" si="9"/>
        <v>12140</v>
      </c>
      <c r="I18" s="115">
        <f t="shared" si="10"/>
        <v>269.78</v>
      </c>
      <c r="J18" s="116">
        <f t="shared" si="11"/>
        <v>84.98</v>
      </c>
      <c r="K18" s="117">
        <f t="shared" si="12"/>
        <v>4.86</v>
      </c>
      <c r="L18" s="118">
        <v>60</v>
      </c>
      <c r="M18" s="118">
        <f t="shared" si="6"/>
        <v>419.62</v>
      </c>
      <c r="N18" s="41">
        <f t="shared" si="7"/>
        <v>269.78</v>
      </c>
      <c r="O18" s="117">
        <f>ROUND((E18-F18/0.7)*0.1*0.002,2)</f>
        <v>38.54</v>
      </c>
      <c r="P18" s="117">
        <f>ROUND((E18-F18/0.7)*0.2*0.002,2)</f>
        <v>77.08</v>
      </c>
      <c r="Q18" s="117">
        <f>N18-O18-P18</f>
        <v>154.16</v>
      </c>
    </row>
    <row r="19" s="1" customFormat="1" ht="18" customHeight="1" spans="1:17">
      <c r="A19" s="10">
        <v>440222</v>
      </c>
      <c r="B19" s="10" t="s">
        <v>56</v>
      </c>
      <c r="C19" s="120">
        <v>0.85</v>
      </c>
      <c r="D19" s="10" t="s">
        <v>59</v>
      </c>
      <c r="E19" s="46">
        <v>122510</v>
      </c>
      <c r="F19" s="46">
        <v>4598</v>
      </c>
      <c r="G19" s="110">
        <f t="shared" si="8"/>
        <v>81159</v>
      </c>
      <c r="H19" s="110">
        <f t="shared" si="9"/>
        <v>7304</v>
      </c>
      <c r="I19" s="115">
        <f t="shared" si="10"/>
        <v>162.32</v>
      </c>
      <c r="J19" s="116">
        <f t="shared" si="11"/>
        <v>51.13</v>
      </c>
      <c r="K19" s="117">
        <f t="shared" si="12"/>
        <v>4.76</v>
      </c>
      <c r="L19" s="118">
        <v>60</v>
      </c>
      <c r="M19" s="118">
        <f t="shared" si="6"/>
        <v>278.21</v>
      </c>
      <c r="N19" s="41">
        <f t="shared" si="7"/>
        <v>162.32</v>
      </c>
      <c r="O19" s="117">
        <f t="shared" ref="O19:O25" si="13">ROUND((E19-F19/0.7)*0.1*0.002,2)</f>
        <v>23.19</v>
      </c>
      <c r="P19" s="117">
        <f t="shared" ref="P19:P25" si="14">ROUND((E19-F19/0.7)*0.2*0.002,2)</f>
        <v>46.38</v>
      </c>
      <c r="Q19" s="117">
        <f t="shared" ref="Q19:Q25" si="15">N19-O19-P19</f>
        <v>92.75</v>
      </c>
    </row>
    <row r="20" s="1" customFormat="1" ht="18" customHeight="1" spans="1:17">
      <c r="A20" s="10">
        <v>440224</v>
      </c>
      <c r="B20" s="10" t="s">
        <v>56</v>
      </c>
      <c r="C20" s="120">
        <v>0.85</v>
      </c>
      <c r="D20" s="10" t="s">
        <v>60</v>
      </c>
      <c r="E20" s="46">
        <v>120900</v>
      </c>
      <c r="F20" s="46">
        <v>6625</v>
      </c>
      <c r="G20" s="110">
        <f t="shared" si="8"/>
        <v>78005</v>
      </c>
      <c r="H20" s="110">
        <f t="shared" si="9"/>
        <v>7020</v>
      </c>
      <c r="I20" s="115">
        <f t="shared" si="10"/>
        <v>156.01</v>
      </c>
      <c r="J20" s="116">
        <f t="shared" si="11"/>
        <v>49.14</v>
      </c>
      <c r="K20" s="117">
        <f t="shared" si="12"/>
        <v>5.46</v>
      </c>
      <c r="L20" s="118">
        <v>60</v>
      </c>
      <c r="M20" s="118">
        <f t="shared" si="6"/>
        <v>270.61</v>
      </c>
      <c r="N20" s="41">
        <f t="shared" si="7"/>
        <v>156.01</v>
      </c>
      <c r="O20" s="117">
        <f t="shared" si="13"/>
        <v>22.29</v>
      </c>
      <c r="P20" s="117">
        <f t="shared" si="14"/>
        <v>44.57</v>
      </c>
      <c r="Q20" s="117">
        <f t="shared" si="15"/>
        <v>89.15</v>
      </c>
    </row>
    <row r="21" s="1" customFormat="1" ht="18" customHeight="1" spans="1:17">
      <c r="A21" s="10">
        <v>440229</v>
      </c>
      <c r="B21" s="10" t="s">
        <v>56</v>
      </c>
      <c r="C21" s="120">
        <v>0.85</v>
      </c>
      <c r="D21" s="10" t="s">
        <v>61</v>
      </c>
      <c r="E21" s="46">
        <v>188220</v>
      </c>
      <c r="F21" s="46">
        <v>7711</v>
      </c>
      <c r="G21" s="110">
        <f t="shared" si="8"/>
        <v>124043</v>
      </c>
      <c r="H21" s="110">
        <f t="shared" si="9"/>
        <v>11164</v>
      </c>
      <c r="I21" s="115">
        <f t="shared" si="10"/>
        <v>248.09</v>
      </c>
      <c r="J21" s="116">
        <f t="shared" si="11"/>
        <v>78.15</v>
      </c>
      <c r="K21" s="117">
        <f t="shared" si="12"/>
        <v>7.55</v>
      </c>
      <c r="L21" s="118">
        <v>60</v>
      </c>
      <c r="M21" s="118">
        <f t="shared" si="6"/>
        <v>393.79</v>
      </c>
      <c r="N21" s="41">
        <f t="shared" si="7"/>
        <v>248.09</v>
      </c>
      <c r="O21" s="117">
        <f t="shared" si="13"/>
        <v>35.44</v>
      </c>
      <c r="P21" s="117">
        <f t="shared" si="14"/>
        <v>70.88</v>
      </c>
      <c r="Q21" s="117">
        <f t="shared" si="15"/>
        <v>141.77</v>
      </c>
    </row>
    <row r="22" s="1" customFormat="1" ht="18" customHeight="1" spans="1:17">
      <c r="A22" s="10">
        <v>440232</v>
      </c>
      <c r="B22" s="10" t="s">
        <v>56</v>
      </c>
      <c r="C22" s="120">
        <v>1</v>
      </c>
      <c r="D22" s="10" t="s">
        <v>62</v>
      </c>
      <c r="E22" s="46">
        <v>120021</v>
      </c>
      <c r="F22" s="46">
        <v>10263</v>
      </c>
      <c r="G22" s="110">
        <f t="shared" si="8"/>
        <v>73752</v>
      </c>
      <c r="H22" s="110">
        <f t="shared" si="9"/>
        <v>6638</v>
      </c>
      <c r="I22" s="115">
        <f t="shared" si="10"/>
        <v>147.5</v>
      </c>
      <c r="J22" s="116">
        <f t="shared" si="11"/>
        <v>46.46</v>
      </c>
      <c r="K22" s="117">
        <f t="shared" si="12"/>
        <v>6.76</v>
      </c>
      <c r="L22" s="118">
        <v>60</v>
      </c>
      <c r="M22" s="118">
        <f t="shared" si="6"/>
        <v>260.72</v>
      </c>
      <c r="N22" s="41">
        <f t="shared" si="7"/>
        <v>147.5</v>
      </c>
      <c r="O22" s="117">
        <f t="shared" si="13"/>
        <v>21.07</v>
      </c>
      <c r="P22" s="117">
        <f t="shared" si="14"/>
        <v>42.14</v>
      </c>
      <c r="Q22" s="117">
        <f t="shared" si="15"/>
        <v>84.29</v>
      </c>
    </row>
    <row r="23" s="1" customFormat="1" ht="18" customHeight="1" spans="1:17">
      <c r="A23" s="10">
        <v>440233</v>
      </c>
      <c r="B23" s="10" t="s">
        <v>56</v>
      </c>
      <c r="C23" s="120">
        <v>0.85</v>
      </c>
      <c r="D23" s="10" t="s">
        <v>63</v>
      </c>
      <c r="E23" s="46">
        <v>116590</v>
      </c>
      <c r="F23" s="46">
        <v>2266</v>
      </c>
      <c r="G23" s="110">
        <f t="shared" si="8"/>
        <v>79347</v>
      </c>
      <c r="H23" s="110">
        <f t="shared" si="9"/>
        <v>7141</v>
      </c>
      <c r="I23" s="115">
        <f t="shared" si="10"/>
        <v>158.69</v>
      </c>
      <c r="J23" s="116">
        <f t="shared" si="11"/>
        <v>49.99</v>
      </c>
      <c r="K23" s="117">
        <f t="shared" si="12"/>
        <v>3.76</v>
      </c>
      <c r="L23" s="118">
        <v>60</v>
      </c>
      <c r="M23" s="118">
        <f t="shared" si="6"/>
        <v>272.44</v>
      </c>
      <c r="N23" s="41">
        <f t="shared" si="7"/>
        <v>158.69</v>
      </c>
      <c r="O23" s="117">
        <f t="shared" si="13"/>
        <v>22.67</v>
      </c>
      <c r="P23" s="117">
        <f t="shared" si="14"/>
        <v>45.34</v>
      </c>
      <c r="Q23" s="117">
        <f t="shared" si="15"/>
        <v>90.68</v>
      </c>
    </row>
    <row r="24" s="1" customFormat="1" ht="18" customHeight="1" spans="1:17">
      <c r="A24" s="10">
        <v>440281</v>
      </c>
      <c r="B24" s="10" t="s">
        <v>56</v>
      </c>
      <c r="C24" s="120">
        <v>0.85</v>
      </c>
      <c r="D24" s="10" t="s">
        <v>64</v>
      </c>
      <c r="E24" s="46">
        <v>223884</v>
      </c>
      <c r="F24" s="46">
        <v>9370</v>
      </c>
      <c r="G24" s="110">
        <f t="shared" si="8"/>
        <v>147349</v>
      </c>
      <c r="H24" s="110">
        <f t="shared" si="9"/>
        <v>13261</v>
      </c>
      <c r="I24" s="115">
        <f t="shared" si="10"/>
        <v>294.7</v>
      </c>
      <c r="J24" s="116">
        <f t="shared" si="11"/>
        <v>92.83</v>
      </c>
      <c r="K24" s="117">
        <f t="shared" si="12"/>
        <v>9.05</v>
      </c>
      <c r="L24" s="118">
        <v>60</v>
      </c>
      <c r="M24" s="118">
        <f t="shared" si="6"/>
        <v>456.58</v>
      </c>
      <c r="N24" s="41">
        <f t="shared" si="7"/>
        <v>294.7</v>
      </c>
      <c r="O24" s="117">
        <f t="shared" si="13"/>
        <v>42.1</v>
      </c>
      <c r="P24" s="117">
        <f t="shared" si="14"/>
        <v>84.2</v>
      </c>
      <c r="Q24" s="117">
        <f t="shared" si="15"/>
        <v>168.4</v>
      </c>
    </row>
    <row r="25" s="1" customFormat="1" ht="18" customHeight="1" spans="1:17">
      <c r="A25" s="10">
        <v>440282</v>
      </c>
      <c r="B25" s="10" t="s">
        <v>56</v>
      </c>
      <c r="C25" s="120">
        <v>1</v>
      </c>
      <c r="D25" s="10" t="s">
        <v>65</v>
      </c>
      <c r="E25" s="46">
        <v>182035</v>
      </c>
      <c r="F25" s="46">
        <v>8587</v>
      </c>
      <c r="G25" s="110">
        <f t="shared" si="8"/>
        <v>118838</v>
      </c>
      <c r="H25" s="110">
        <f t="shared" si="9"/>
        <v>10695</v>
      </c>
      <c r="I25" s="115">
        <f t="shared" si="10"/>
        <v>237.68</v>
      </c>
      <c r="J25" s="116">
        <f t="shared" si="11"/>
        <v>74.87</v>
      </c>
      <c r="K25" s="117">
        <f t="shared" si="12"/>
        <v>7.71</v>
      </c>
      <c r="L25" s="118">
        <v>60</v>
      </c>
      <c r="M25" s="118">
        <f t="shared" si="6"/>
        <v>380.26</v>
      </c>
      <c r="N25" s="41">
        <f t="shared" si="7"/>
        <v>237.68</v>
      </c>
      <c r="O25" s="117">
        <f t="shared" si="13"/>
        <v>33.95</v>
      </c>
      <c r="P25" s="117">
        <f t="shared" si="14"/>
        <v>67.91</v>
      </c>
      <c r="Q25" s="117">
        <f t="shared" si="15"/>
        <v>135.82</v>
      </c>
    </row>
    <row r="26" s="4" customFormat="1" ht="18" customHeight="1" spans="1:17">
      <c r="A26" s="22">
        <v>440500</v>
      </c>
      <c r="B26" s="22" t="s">
        <v>66</v>
      </c>
      <c r="C26" s="107"/>
      <c r="D26" s="23" t="s">
        <v>67</v>
      </c>
      <c r="E26" s="108">
        <f t="shared" ref="E26:Q26" si="16">SUM(E27:E34)</f>
        <v>3605616</v>
      </c>
      <c r="F26" s="108">
        <f t="shared" si="16"/>
        <v>712</v>
      </c>
      <c r="G26" s="108">
        <f t="shared" si="16"/>
        <v>2523220</v>
      </c>
      <c r="H26" s="108">
        <f t="shared" si="16"/>
        <v>227090</v>
      </c>
      <c r="I26" s="114">
        <f t="shared" si="16"/>
        <v>5046.44</v>
      </c>
      <c r="J26" s="107">
        <f t="shared" si="16"/>
        <v>1589.62</v>
      </c>
      <c r="K26" s="114">
        <f t="shared" si="16"/>
        <v>91.12</v>
      </c>
      <c r="L26" s="114">
        <f t="shared" si="16"/>
        <v>445</v>
      </c>
      <c r="M26" s="114">
        <f t="shared" si="16"/>
        <v>7172.18</v>
      </c>
      <c r="N26" s="114">
        <f t="shared" si="16"/>
        <v>5046.44</v>
      </c>
      <c r="O26" s="114">
        <f t="shared" si="16"/>
        <v>720.92</v>
      </c>
      <c r="P26" s="114">
        <f t="shared" si="16"/>
        <v>1441.84</v>
      </c>
      <c r="Q26" s="114">
        <f t="shared" si="16"/>
        <v>2883.68</v>
      </c>
    </row>
    <row r="27" s="4" customFormat="1" ht="18" customHeight="1" spans="1:17">
      <c r="A27" s="22"/>
      <c r="B27" s="22"/>
      <c r="C27" s="120">
        <v>0.85</v>
      </c>
      <c r="D27" s="10" t="s">
        <v>58</v>
      </c>
      <c r="E27" s="108"/>
      <c r="F27" s="108"/>
      <c r="G27" s="108"/>
      <c r="H27" s="108"/>
      <c r="I27" s="115">
        <f>ROUND(G27*20/10000,2)</f>
        <v>0</v>
      </c>
      <c r="J27" s="116">
        <v>0</v>
      </c>
      <c r="K27" s="117">
        <f>ROUND(H27*0.4*10/10000,2)</f>
        <v>0</v>
      </c>
      <c r="L27" s="118">
        <v>25</v>
      </c>
      <c r="M27" s="118">
        <f>SUM(I27:L27)</f>
        <v>25</v>
      </c>
      <c r="N27" s="41">
        <f>I27</f>
        <v>0</v>
      </c>
      <c r="O27" s="117">
        <f>ROUND((E27-F27/0.7)*0.1*0.002,2)</f>
        <v>0</v>
      </c>
      <c r="P27" s="117">
        <f>ROUND((E27-F27/0.7)*0.2*0.002,2)</f>
        <v>0</v>
      </c>
      <c r="Q27" s="117">
        <f>N27-O27-P27</f>
        <v>0</v>
      </c>
    </row>
    <row r="28" s="4" customFormat="1" ht="18" customHeight="1" spans="1:17">
      <c r="A28" s="22"/>
      <c r="B28" s="22"/>
      <c r="C28" s="109" t="s">
        <v>161</v>
      </c>
      <c r="D28" s="45" t="s">
        <v>165</v>
      </c>
      <c r="E28" s="46">
        <v>551138</v>
      </c>
      <c r="F28" s="108"/>
      <c r="G28" s="110">
        <f t="shared" ref="G28:G34" si="17">ROUND(E28*0.7-F28,0)</f>
        <v>385797</v>
      </c>
      <c r="H28" s="110">
        <f t="shared" ref="H28:H34" si="18">ROUND(G28*0.09,0)</f>
        <v>34722</v>
      </c>
      <c r="I28" s="115">
        <f t="shared" ref="I28:I34" si="19">ROUND(G28*20/10000,2)</f>
        <v>771.59</v>
      </c>
      <c r="J28" s="116">
        <f t="shared" ref="J28:J34" si="20">ROUND(G28*0.5*0.6*21/10000,2)</f>
        <v>243.05</v>
      </c>
      <c r="K28" s="117">
        <f t="shared" ref="K28:K34" si="21">ROUND((H28+F28)*0.4*10/10000,2)</f>
        <v>13.89</v>
      </c>
      <c r="L28" s="118">
        <v>60</v>
      </c>
      <c r="M28" s="118">
        <f t="shared" ref="M28:M34" si="22">SUM(I28:L28)</f>
        <v>1088.53</v>
      </c>
      <c r="N28" s="41">
        <f t="shared" ref="N28:N34" si="23">I28</f>
        <v>771.59</v>
      </c>
      <c r="O28" s="117">
        <f t="shared" ref="O28:O34" si="24">ROUND((E28-F28/0.7)*0.1*0.002,2)</f>
        <v>110.23</v>
      </c>
      <c r="P28" s="117">
        <f t="shared" ref="P28:P34" si="25">ROUND((E28-F28/0.7)*0.2*0.002,2)</f>
        <v>220.46</v>
      </c>
      <c r="Q28" s="117">
        <f t="shared" ref="Q28:Q34" si="26">N28-O28-P28</f>
        <v>440.9</v>
      </c>
    </row>
    <row r="29" s="4" customFormat="1" ht="18" customHeight="1" spans="1:17">
      <c r="A29" s="22"/>
      <c r="B29" s="22"/>
      <c r="C29" s="109" t="s">
        <v>161</v>
      </c>
      <c r="D29" s="45" t="s">
        <v>166</v>
      </c>
      <c r="E29" s="46">
        <v>446805</v>
      </c>
      <c r="F29" s="108"/>
      <c r="G29" s="110">
        <f t="shared" si="17"/>
        <v>312764</v>
      </c>
      <c r="H29" s="110">
        <f t="shared" si="18"/>
        <v>28149</v>
      </c>
      <c r="I29" s="115">
        <f t="shared" si="19"/>
        <v>625.53</v>
      </c>
      <c r="J29" s="116">
        <f t="shared" si="20"/>
        <v>197.04</v>
      </c>
      <c r="K29" s="117">
        <f t="shared" si="21"/>
        <v>11.26</v>
      </c>
      <c r="L29" s="118">
        <v>60</v>
      </c>
      <c r="M29" s="118">
        <f t="shared" si="22"/>
        <v>893.83</v>
      </c>
      <c r="N29" s="41">
        <f t="shared" si="23"/>
        <v>625.53</v>
      </c>
      <c r="O29" s="117">
        <f t="shared" si="24"/>
        <v>89.36</v>
      </c>
      <c r="P29" s="117">
        <f t="shared" si="25"/>
        <v>178.72</v>
      </c>
      <c r="Q29" s="117">
        <f t="shared" si="26"/>
        <v>357.45</v>
      </c>
    </row>
    <row r="30" s="4" customFormat="1" ht="18" customHeight="1" spans="1:17">
      <c r="A30" s="22"/>
      <c r="B30" s="22"/>
      <c r="C30" s="109" t="s">
        <v>161</v>
      </c>
      <c r="D30" s="45" t="s">
        <v>167</v>
      </c>
      <c r="E30" s="46">
        <v>620486</v>
      </c>
      <c r="F30" s="108"/>
      <c r="G30" s="110">
        <f t="shared" si="17"/>
        <v>434340</v>
      </c>
      <c r="H30" s="110">
        <f t="shared" si="18"/>
        <v>39091</v>
      </c>
      <c r="I30" s="115">
        <f t="shared" si="19"/>
        <v>868.68</v>
      </c>
      <c r="J30" s="116">
        <f t="shared" si="20"/>
        <v>273.63</v>
      </c>
      <c r="K30" s="117">
        <f t="shared" si="21"/>
        <v>15.64</v>
      </c>
      <c r="L30" s="118">
        <v>60</v>
      </c>
      <c r="M30" s="118">
        <f t="shared" si="22"/>
        <v>1217.95</v>
      </c>
      <c r="N30" s="41">
        <f t="shared" si="23"/>
        <v>868.68</v>
      </c>
      <c r="O30" s="117">
        <f t="shared" si="24"/>
        <v>124.1</v>
      </c>
      <c r="P30" s="117">
        <f t="shared" si="25"/>
        <v>248.19</v>
      </c>
      <c r="Q30" s="117">
        <f t="shared" si="26"/>
        <v>496.39</v>
      </c>
    </row>
    <row r="31" s="4" customFormat="1" ht="18" customHeight="1" spans="1:17">
      <c r="A31" s="22"/>
      <c r="B31" s="22"/>
      <c r="C31" s="109" t="s">
        <v>161</v>
      </c>
      <c r="D31" s="45" t="s">
        <v>168</v>
      </c>
      <c r="E31" s="46">
        <v>170665</v>
      </c>
      <c r="F31" s="108"/>
      <c r="G31" s="110">
        <f t="shared" si="17"/>
        <v>119466</v>
      </c>
      <c r="H31" s="110">
        <f t="shared" si="18"/>
        <v>10752</v>
      </c>
      <c r="I31" s="115">
        <f t="shared" si="19"/>
        <v>238.93</v>
      </c>
      <c r="J31" s="116">
        <f t="shared" si="20"/>
        <v>75.26</v>
      </c>
      <c r="K31" s="117">
        <f t="shared" si="21"/>
        <v>4.3</v>
      </c>
      <c r="L31" s="118">
        <v>60</v>
      </c>
      <c r="M31" s="118">
        <f t="shared" si="22"/>
        <v>378.49</v>
      </c>
      <c r="N31" s="41">
        <f t="shared" si="23"/>
        <v>238.93</v>
      </c>
      <c r="O31" s="117">
        <f t="shared" si="24"/>
        <v>34.13</v>
      </c>
      <c r="P31" s="117">
        <f t="shared" si="25"/>
        <v>68.27</v>
      </c>
      <c r="Q31" s="117">
        <f t="shared" si="26"/>
        <v>136.53</v>
      </c>
    </row>
    <row r="32" s="4" customFormat="1" ht="18" customHeight="1" spans="1:17">
      <c r="A32" s="22"/>
      <c r="B32" s="22"/>
      <c r="C32" s="109" t="s">
        <v>161</v>
      </c>
      <c r="D32" s="45" t="s">
        <v>169</v>
      </c>
      <c r="E32" s="46">
        <v>1025369</v>
      </c>
      <c r="F32" s="108"/>
      <c r="G32" s="110">
        <f t="shared" si="17"/>
        <v>717758</v>
      </c>
      <c r="H32" s="110">
        <f t="shared" si="18"/>
        <v>64598</v>
      </c>
      <c r="I32" s="115">
        <f t="shared" si="19"/>
        <v>1435.52</v>
      </c>
      <c r="J32" s="116">
        <f t="shared" si="20"/>
        <v>452.19</v>
      </c>
      <c r="K32" s="117">
        <f t="shared" si="21"/>
        <v>25.84</v>
      </c>
      <c r="L32" s="118">
        <v>60</v>
      </c>
      <c r="M32" s="118">
        <f t="shared" si="22"/>
        <v>1973.55</v>
      </c>
      <c r="N32" s="41">
        <f t="shared" si="23"/>
        <v>1435.52</v>
      </c>
      <c r="O32" s="117">
        <f t="shared" si="24"/>
        <v>205.07</v>
      </c>
      <c r="P32" s="117">
        <f t="shared" si="25"/>
        <v>410.15</v>
      </c>
      <c r="Q32" s="117">
        <f t="shared" si="26"/>
        <v>820.3</v>
      </c>
    </row>
    <row r="33" s="4" customFormat="1" ht="18" customHeight="1" spans="1:17">
      <c r="A33" s="22"/>
      <c r="B33" s="22"/>
      <c r="C33" s="109" t="s">
        <v>161</v>
      </c>
      <c r="D33" s="45" t="s">
        <v>170</v>
      </c>
      <c r="E33" s="46">
        <v>744957</v>
      </c>
      <c r="F33" s="108"/>
      <c r="G33" s="110">
        <f t="shared" si="17"/>
        <v>521470</v>
      </c>
      <c r="H33" s="110">
        <f t="shared" si="18"/>
        <v>46932</v>
      </c>
      <c r="I33" s="115">
        <f t="shared" si="19"/>
        <v>1042.94</v>
      </c>
      <c r="J33" s="116">
        <f t="shared" si="20"/>
        <v>328.53</v>
      </c>
      <c r="K33" s="117">
        <f t="shared" si="21"/>
        <v>18.77</v>
      </c>
      <c r="L33" s="118">
        <v>60</v>
      </c>
      <c r="M33" s="118">
        <f t="shared" si="22"/>
        <v>1450.24</v>
      </c>
      <c r="N33" s="41">
        <f t="shared" si="23"/>
        <v>1042.94</v>
      </c>
      <c r="O33" s="117">
        <f t="shared" si="24"/>
        <v>148.99</v>
      </c>
      <c r="P33" s="117">
        <f t="shared" si="25"/>
        <v>297.98</v>
      </c>
      <c r="Q33" s="117">
        <f t="shared" si="26"/>
        <v>595.97</v>
      </c>
    </row>
    <row r="34" s="1" customFormat="1" ht="18" customHeight="1" spans="1:17">
      <c r="A34" s="10">
        <v>440523</v>
      </c>
      <c r="B34" s="10" t="s">
        <v>66</v>
      </c>
      <c r="C34" s="120">
        <v>0.85</v>
      </c>
      <c r="D34" s="10" t="s">
        <v>68</v>
      </c>
      <c r="E34" s="46">
        <v>46196</v>
      </c>
      <c r="F34" s="46">
        <v>712</v>
      </c>
      <c r="G34" s="110">
        <f t="shared" si="17"/>
        <v>31625</v>
      </c>
      <c r="H34" s="110">
        <f t="shared" si="18"/>
        <v>2846</v>
      </c>
      <c r="I34" s="115">
        <f t="shared" si="19"/>
        <v>63.25</v>
      </c>
      <c r="J34" s="116">
        <f t="shared" si="20"/>
        <v>19.92</v>
      </c>
      <c r="K34" s="117">
        <f t="shared" si="21"/>
        <v>1.42</v>
      </c>
      <c r="L34" s="118">
        <v>60</v>
      </c>
      <c r="M34" s="118">
        <f t="shared" si="22"/>
        <v>144.59</v>
      </c>
      <c r="N34" s="41">
        <f t="shared" si="23"/>
        <v>63.25</v>
      </c>
      <c r="O34" s="117">
        <f t="shared" si="24"/>
        <v>9.04</v>
      </c>
      <c r="P34" s="117">
        <f t="shared" si="25"/>
        <v>18.07</v>
      </c>
      <c r="Q34" s="117">
        <f t="shared" si="26"/>
        <v>36.14</v>
      </c>
    </row>
    <row r="35" s="4" customFormat="1" ht="18" customHeight="1" spans="1:17">
      <c r="A35" s="22">
        <v>440700</v>
      </c>
      <c r="B35" s="22" t="s">
        <v>69</v>
      </c>
      <c r="C35" s="107"/>
      <c r="D35" s="23" t="s">
        <v>70</v>
      </c>
      <c r="E35" s="108">
        <f t="shared" ref="E35:Q35" si="27">SUM(E36:E40)</f>
        <v>1910085</v>
      </c>
      <c r="F35" s="108">
        <f t="shared" si="27"/>
        <v>135514</v>
      </c>
      <c r="G35" s="108">
        <f t="shared" si="27"/>
        <v>1201546</v>
      </c>
      <c r="H35" s="108">
        <f t="shared" si="27"/>
        <v>108140</v>
      </c>
      <c r="I35" s="114">
        <f t="shared" si="27"/>
        <v>2403.09</v>
      </c>
      <c r="J35" s="107">
        <f t="shared" si="27"/>
        <v>756.97</v>
      </c>
      <c r="K35" s="114">
        <f t="shared" si="27"/>
        <v>97.46</v>
      </c>
      <c r="L35" s="114">
        <f t="shared" si="27"/>
        <v>265</v>
      </c>
      <c r="M35" s="114">
        <f t="shared" si="27"/>
        <v>3522.52</v>
      </c>
      <c r="N35" s="114">
        <f t="shared" si="27"/>
        <v>2403.09</v>
      </c>
      <c r="O35" s="114">
        <f t="shared" si="27"/>
        <v>343.3</v>
      </c>
      <c r="P35" s="114">
        <f t="shared" si="27"/>
        <v>686.61</v>
      </c>
      <c r="Q35" s="114">
        <f t="shared" si="27"/>
        <v>1373.18</v>
      </c>
    </row>
    <row r="36" s="4" customFormat="1" ht="18" customHeight="1" spans="1:17">
      <c r="A36" s="22"/>
      <c r="B36" s="22"/>
      <c r="C36" s="122">
        <v>0</v>
      </c>
      <c r="D36" s="10" t="s">
        <v>58</v>
      </c>
      <c r="E36" s="108"/>
      <c r="F36" s="108"/>
      <c r="G36" s="108"/>
      <c r="H36" s="108"/>
      <c r="I36" s="115">
        <f>ROUND(G36*20/10000,2)</f>
        <v>0</v>
      </c>
      <c r="J36" s="107">
        <v>0</v>
      </c>
      <c r="K36" s="117">
        <f>ROUND(H36*0.4*10/10000,2)</f>
        <v>0</v>
      </c>
      <c r="L36" s="118">
        <v>25</v>
      </c>
      <c r="M36" s="118">
        <f>SUM(I36:L36)</f>
        <v>25</v>
      </c>
      <c r="N36" s="41">
        <f>I36</f>
        <v>0</v>
      </c>
      <c r="O36" s="117">
        <f>ROUND((E36-F36/0.7)*0.1*0.002,2)</f>
        <v>0</v>
      </c>
      <c r="P36" s="117">
        <f>ROUND((E36-F36/0.7)*0.2*0.002,2)</f>
        <v>0</v>
      </c>
      <c r="Q36" s="117">
        <f>N36-O36-P36</f>
        <v>0</v>
      </c>
    </row>
    <row r="37" s="1" customFormat="1" ht="18" customHeight="1" spans="1:17">
      <c r="A37" s="10">
        <v>440781</v>
      </c>
      <c r="B37" s="10" t="s">
        <v>69</v>
      </c>
      <c r="C37" s="120">
        <v>0.65</v>
      </c>
      <c r="D37" s="10" t="s">
        <v>71</v>
      </c>
      <c r="E37" s="46">
        <v>648417</v>
      </c>
      <c r="F37" s="46">
        <v>33006</v>
      </c>
      <c r="G37" s="110">
        <f>ROUND(E37*0.7-F37,0)</f>
        <v>420886</v>
      </c>
      <c r="H37" s="110">
        <f>ROUND(G37*0.09,0)</f>
        <v>37880</v>
      </c>
      <c r="I37" s="115">
        <f>ROUND(G37*20/10000,2)</f>
        <v>841.77</v>
      </c>
      <c r="J37" s="116">
        <f>ROUND(G37*0.5*0.6*21/10000,2)</f>
        <v>265.16</v>
      </c>
      <c r="K37" s="117">
        <f>ROUND((H37+F37)*0.4*10/10000,2)</f>
        <v>28.35</v>
      </c>
      <c r="L37" s="118">
        <v>60</v>
      </c>
      <c r="M37" s="118">
        <f>SUM(I37:L37)</f>
        <v>1195.28</v>
      </c>
      <c r="N37" s="41">
        <f>I37</f>
        <v>841.77</v>
      </c>
      <c r="O37" s="117">
        <f>ROUND((E37-F37/0.7)*0.1*0.002,2)</f>
        <v>120.25</v>
      </c>
      <c r="P37" s="117">
        <f>ROUND((E37-F37/0.7)*0.2*0.002,2)</f>
        <v>240.51</v>
      </c>
      <c r="Q37" s="117">
        <f>N37-O37-P37</f>
        <v>481.01</v>
      </c>
    </row>
    <row r="38" s="1" customFormat="1" ht="18" customHeight="1" spans="1:17">
      <c r="A38" s="10">
        <v>440783</v>
      </c>
      <c r="B38" s="10" t="s">
        <v>69</v>
      </c>
      <c r="C38" s="120">
        <v>0.65</v>
      </c>
      <c r="D38" s="10" t="s">
        <v>72</v>
      </c>
      <c r="E38" s="46">
        <v>521740</v>
      </c>
      <c r="F38" s="46">
        <v>48264</v>
      </c>
      <c r="G38" s="110">
        <f>ROUND(E38*0.7-F38,0)</f>
        <v>316954</v>
      </c>
      <c r="H38" s="110">
        <f>ROUND(G38*0.09,0)</f>
        <v>28526</v>
      </c>
      <c r="I38" s="115">
        <f>ROUND(G38*20/10000,2)</f>
        <v>633.91</v>
      </c>
      <c r="J38" s="116">
        <f>ROUND(G38*0.5*0.6*21/10000,2)</f>
        <v>199.68</v>
      </c>
      <c r="K38" s="117">
        <f>ROUND((H38+F38)*0.4*10/10000,2)</f>
        <v>30.72</v>
      </c>
      <c r="L38" s="118">
        <v>60</v>
      </c>
      <c r="M38" s="118">
        <f>SUM(I38:L38)</f>
        <v>924.31</v>
      </c>
      <c r="N38" s="41">
        <f>I38</f>
        <v>633.91</v>
      </c>
      <c r="O38" s="117">
        <f>ROUND((E38-F38/0.7)*0.1*0.002,2)</f>
        <v>90.56</v>
      </c>
      <c r="P38" s="117">
        <f>ROUND((E38-F38/0.7)*0.2*0.002,2)</f>
        <v>181.12</v>
      </c>
      <c r="Q38" s="117">
        <f>N38-O38-P38</f>
        <v>362.23</v>
      </c>
    </row>
    <row r="39" s="1" customFormat="1" ht="18" customHeight="1" spans="1:17">
      <c r="A39" s="10">
        <v>440784</v>
      </c>
      <c r="B39" s="10" t="s">
        <v>69</v>
      </c>
      <c r="C39" s="120">
        <v>0.65</v>
      </c>
      <c r="D39" s="10" t="s">
        <v>73</v>
      </c>
      <c r="E39" s="46">
        <v>391945</v>
      </c>
      <c r="F39" s="46">
        <v>22155</v>
      </c>
      <c r="G39" s="110">
        <f>ROUND(E39*0.7-F39,0)</f>
        <v>252207</v>
      </c>
      <c r="H39" s="110">
        <f>ROUND(G39*0.09,0)</f>
        <v>22699</v>
      </c>
      <c r="I39" s="115">
        <f>ROUND(G39*20/10000,2)</f>
        <v>504.41</v>
      </c>
      <c r="J39" s="116">
        <f>ROUND(G39*0.5*0.6*21/10000,2)</f>
        <v>158.89</v>
      </c>
      <c r="K39" s="117">
        <f>ROUND((H39+F39)*0.4*10/10000,2)</f>
        <v>17.94</v>
      </c>
      <c r="L39" s="118">
        <v>60</v>
      </c>
      <c r="M39" s="118">
        <f>SUM(I39:L39)</f>
        <v>741.24</v>
      </c>
      <c r="N39" s="41">
        <f>I39</f>
        <v>504.41</v>
      </c>
      <c r="O39" s="117">
        <f>ROUND((E39-F39/0.7)*0.1*0.002,2)</f>
        <v>72.06</v>
      </c>
      <c r="P39" s="117">
        <f>ROUND((E39-F39/0.7)*0.2*0.002,2)</f>
        <v>144.12</v>
      </c>
      <c r="Q39" s="117">
        <f>N39-O39-P39</f>
        <v>288.23</v>
      </c>
    </row>
    <row r="40" s="1" customFormat="1" ht="18" customHeight="1" spans="1:17">
      <c r="A40" s="10">
        <v>440785</v>
      </c>
      <c r="B40" s="10" t="s">
        <v>69</v>
      </c>
      <c r="C40" s="120">
        <v>0.65</v>
      </c>
      <c r="D40" s="10" t="s">
        <v>74</v>
      </c>
      <c r="E40" s="46">
        <v>347983</v>
      </c>
      <c r="F40" s="46">
        <v>32089</v>
      </c>
      <c r="G40" s="110">
        <f>ROUND(E40*0.7-F40,0)</f>
        <v>211499</v>
      </c>
      <c r="H40" s="110">
        <f>ROUND(G40*0.09,0)</f>
        <v>19035</v>
      </c>
      <c r="I40" s="115">
        <f>ROUND(G40*20/10000,2)</f>
        <v>423</v>
      </c>
      <c r="J40" s="116">
        <f>ROUND(G40*0.5*0.6*21/10000,2)</f>
        <v>133.24</v>
      </c>
      <c r="K40" s="117">
        <f>ROUND((H40+F40)*0.4*10/10000,2)</f>
        <v>20.45</v>
      </c>
      <c r="L40" s="118">
        <v>60</v>
      </c>
      <c r="M40" s="118">
        <f>SUM(I40:L40)</f>
        <v>636.69</v>
      </c>
      <c r="N40" s="41">
        <f>I40</f>
        <v>423</v>
      </c>
      <c r="O40" s="117">
        <f>ROUND((E40-F40/0.7)*0.1*0.002,2)</f>
        <v>60.43</v>
      </c>
      <c r="P40" s="117">
        <f>ROUND((E40-F40/0.7)*0.2*0.002,2)</f>
        <v>120.86</v>
      </c>
      <c r="Q40" s="117">
        <f>N40-O40-P40</f>
        <v>241.71</v>
      </c>
    </row>
    <row r="41" s="4" customFormat="1" ht="18" customHeight="1" spans="1:17">
      <c r="A41" s="22">
        <v>440800</v>
      </c>
      <c r="B41" s="22" t="s">
        <v>75</v>
      </c>
      <c r="C41" s="107"/>
      <c r="D41" s="23" t="s">
        <v>76</v>
      </c>
      <c r="E41" s="108">
        <f t="shared" ref="E41:Q41" si="28">SUM(E42:E51)</f>
        <v>4318445</v>
      </c>
      <c r="F41" s="108">
        <f t="shared" si="28"/>
        <v>135836</v>
      </c>
      <c r="G41" s="108">
        <f t="shared" si="28"/>
        <v>2887075</v>
      </c>
      <c r="H41" s="108">
        <f t="shared" si="28"/>
        <v>259837</v>
      </c>
      <c r="I41" s="114">
        <f t="shared" si="28"/>
        <v>5774.14</v>
      </c>
      <c r="J41" s="107">
        <f t="shared" si="28"/>
        <v>1818.88</v>
      </c>
      <c r="K41" s="114">
        <f t="shared" si="28"/>
        <v>158.27</v>
      </c>
      <c r="L41" s="114">
        <f t="shared" si="28"/>
        <v>565</v>
      </c>
      <c r="M41" s="114">
        <f t="shared" si="28"/>
        <v>8316.29</v>
      </c>
      <c r="N41" s="114">
        <f t="shared" si="28"/>
        <v>5774.14</v>
      </c>
      <c r="O41" s="114">
        <f t="shared" si="28"/>
        <v>824.87</v>
      </c>
      <c r="P41" s="114">
        <f t="shared" si="28"/>
        <v>1649.77</v>
      </c>
      <c r="Q41" s="114">
        <f t="shared" si="28"/>
        <v>3299.5</v>
      </c>
    </row>
    <row r="42" s="4" customFormat="1" ht="18" customHeight="1" spans="1:17">
      <c r="A42" s="22"/>
      <c r="B42" s="22"/>
      <c r="C42" s="120">
        <v>0.85</v>
      </c>
      <c r="D42" s="10" t="s">
        <v>58</v>
      </c>
      <c r="E42" s="108"/>
      <c r="F42" s="108"/>
      <c r="G42" s="108"/>
      <c r="H42" s="108"/>
      <c r="I42" s="115">
        <f>ROUND(G42*20/10000,2)</f>
        <v>0</v>
      </c>
      <c r="J42" s="107">
        <v>0</v>
      </c>
      <c r="K42" s="117">
        <f>ROUND(H42*0.4*10/10000,2)</f>
        <v>0</v>
      </c>
      <c r="L42" s="118">
        <v>25</v>
      </c>
      <c r="M42" s="118">
        <f>SUM(I42:L42)</f>
        <v>25</v>
      </c>
      <c r="N42" s="41">
        <f>I42</f>
        <v>0</v>
      </c>
      <c r="O42" s="117">
        <f>ROUND((E42-F42/0.7)*0.1*0.002,2)</f>
        <v>0</v>
      </c>
      <c r="P42" s="117">
        <f>ROUND((E42-F42/0.7)*0.2*0.002,2)</f>
        <v>0</v>
      </c>
      <c r="Q42" s="117">
        <f>N42-O42-P42</f>
        <v>0</v>
      </c>
    </row>
    <row r="43" s="4" customFormat="1" ht="18" customHeight="1" spans="1:17">
      <c r="A43" s="22"/>
      <c r="B43" s="22"/>
      <c r="C43" s="109" t="s">
        <v>161</v>
      </c>
      <c r="D43" s="45" t="s">
        <v>171</v>
      </c>
      <c r="E43" s="46">
        <v>275596</v>
      </c>
      <c r="F43" s="108"/>
      <c r="G43" s="110">
        <f t="shared" ref="G43:G51" si="29">ROUND(E43*0.7-F43,0)</f>
        <v>192917</v>
      </c>
      <c r="H43" s="110">
        <f t="shared" ref="H43:H51" si="30">ROUND(G43*0.09,0)</f>
        <v>17363</v>
      </c>
      <c r="I43" s="115">
        <f t="shared" ref="I43:I51" si="31">ROUND(G43*20/10000,2)</f>
        <v>385.83</v>
      </c>
      <c r="J43" s="116">
        <f t="shared" ref="J43:J51" si="32">ROUND(G43*0.5*0.6*21/10000,2)</f>
        <v>121.54</v>
      </c>
      <c r="K43" s="117">
        <f t="shared" ref="K43:K51" si="33">ROUND((H43+F43)*0.4*10/10000,2)</f>
        <v>6.95</v>
      </c>
      <c r="L43" s="118">
        <v>60</v>
      </c>
      <c r="M43" s="118">
        <f t="shared" ref="M43:M51" si="34">SUM(I43:L43)</f>
        <v>574.32</v>
      </c>
      <c r="N43" s="41">
        <f t="shared" ref="N43:N51" si="35">I43</f>
        <v>385.83</v>
      </c>
      <c r="O43" s="117">
        <f t="shared" ref="O43:O51" si="36">ROUND((E43-F43/0.7)*0.1*0.002,2)</f>
        <v>55.12</v>
      </c>
      <c r="P43" s="117">
        <f t="shared" ref="P43:P51" si="37">ROUND((E43-F43/0.7)*0.2*0.002,2)</f>
        <v>110.24</v>
      </c>
      <c r="Q43" s="117">
        <f t="shared" ref="Q43:Q51" si="38">N43-O43-P43</f>
        <v>220.47</v>
      </c>
    </row>
    <row r="44" s="4" customFormat="1" ht="18" customHeight="1" spans="1:17">
      <c r="A44" s="22"/>
      <c r="B44" s="22"/>
      <c r="C44" s="109" t="s">
        <v>161</v>
      </c>
      <c r="D44" s="45" t="s">
        <v>172</v>
      </c>
      <c r="E44" s="46">
        <v>431264</v>
      </c>
      <c r="F44" s="108"/>
      <c r="G44" s="110">
        <f t="shared" si="29"/>
        <v>301885</v>
      </c>
      <c r="H44" s="110">
        <f t="shared" si="30"/>
        <v>27170</v>
      </c>
      <c r="I44" s="115">
        <f t="shared" si="31"/>
        <v>603.77</v>
      </c>
      <c r="J44" s="116">
        <f t="shared" si="32"/>
        <v>190.19</v>
      </c>
      <c r="K44" s="117">
        <f t="shared" si="33"/>
        <v>10.87</v>
      </c>
      <c r="L44" s="118">
        <v>60</v>
      </c>
      <c r="M44" s="118">
        <f t="shared" si="34"/>
        <v>864.83</v>
      </c>
      <c r="N44" s="41">
        <f t="shared" si="35"/>
        <v>603.77</v>
      </c>
      <c r="O44" s="117">
        <f t="shared" si="36"/>
        <v>86.25</v>
      </c>
      <c r="P44" s="117">
        <f t="shared" si="37"/>
        <v>172.51</v>
      </c>
      <c r="Q44" s="117">
        <f t="shared" si="38"/>
        <v>345.01</v>
      </c>
    </row>
    <row r="45" s="4" customFormat="1" ht="18" customHeight="1" spans="1:17">
      <c r="A45" s="22"/>
      <c r="B45" s="22"/>
      <c r="C45" s="109" t="s">
        <v>161</v>
      </c>
      <c r="D45" s="45" t="s">
        <v>173</v>
      </c>
      <c r="E45" s="46">
        <v>212622</v>
      </c>
      <c r="F45" s="108"/>
      <c r="G45" s="110">
        <f t="shared" si="29"/>
        <v>148835</v>
      </c>
      <c r="H45" s="110">
        <f t="shared" si="30"/>
        <v>13395</v>
      </c>
      <c r="I45" s="115">
        <f t="shared" si="31"/>
        <v>297.67</v>
      </c>
      <c r="J45" s="116">
        <f t="shared" si="32"/>
        <v>93.77</v>
      </c>
      <c r="K45" s="117">
        <f t="shared" si="33"/>
        <v>5.36</v>
      </c>
      <c r="L45" s="118">
        <v>60</v>
      </c>
      <c r="M45" s="118">
        <f t="shared" si="34"/>
        <v>456.8</v>
      </c>
      <c r="N45" s="41">
        <f t="shared" si="35"/>
        <v>297.67</v>
      </c>
      <c r="O45" s="117">
        <f t="shared" si="36"/>
        <v>42.52</v>
      </c>
      <c r="P45" s="117">
        <f t="shared" si="37"/>
        <v>85.05</v>
      </c>
      <c r="Q45" s="117">
        <f t="shared" si="38"/>
        <v>170.1</v>
      </c>
    </row>
    <row r="46" s="4" customFormat="1" ht="18" customHeight="1" spans="1:17">
      <c r="A46" s="22"/>
      <c r="B46" s="22"/>
      <c r="C46" s="109" t="s">
        <v>161</v>
      </c>
      <c r="D46" s="45" t="s">
        <v>174</v>
      </c>
      <c r="E46" s="46">
        <v>319607</v>
      </c>
      <c r="F46" s="108"/>
      <c r="G46" s="110">
        <f t="shared" si="29"/>
        <v>223725</v>
      </c>
      <c r="H46" s="110">
        <f t="shared" si="30"/>
        <v>20135</v>
      </c>
      <c r="I46" s="115">
        <f t="shared" si="31"/>
        <v>447.45</v>
      </c>
      <c r="J46" s="116">
        <f t="shared" si="32"/>
        <v>140.95</v>
      </c>
      <c r="K46" s="117">
        <f t="shared" si="33"/>
        <v>8.05</v>
      </c>
      <c r="L46" s="118">
        <v>60</v>
      </c>
      <c r="M46" s="118">
        <f t="shared" si="34"/>
        <v>656.45</v>
      </c>
      <c r="N46" s="41">
        <f t="shared" si="35"/>
        <v>447.45</v>
      </c>
      <c r="O46" s="117">
        <f t="shared" si="36"/>
        <v>63.92</v>
      </c>
      <c r="P46" s="117">
        <f t="shared" si="37"/>
        <v>127.84</v>
      </c>
      <c r="Q46" s="117">
        <f t="shared" si="38"/>
        <v>255.69</v>
      </c>
    </row>
    <row r="47" s="1" customFormat="1" ht="18" customHeight="1" spans="1:17">
      <c r="A47" s="10">
        <v>440823</v>
      </c>
      <c r="B47" s="10" t="s">
        <v>75</v>
      </c>
      <c r="C47" s="120">
        <v>0.85</v>
      </c>
      <c r="D47" s="10" t="s">
        <v>77</v>
      </c>
      <c r="E47" s="46">
        <v>497405</v>
      </c>
      <c r="F47" s="46">
        <v>18499</v>
      </c>
      <c r="G47" s="110">
        <f t="shared" si="29"/>
        <v>329685</v>
      </c>
      <c r="H47" s="110">
        <f t="shared" si="30"/>
        <v>29672</v>
      </c>
      <c r="I47" s="115">
        <f t="shared" si="31"/>
        <v>659.37</v>
      </c>
      <c r="J47" s="116">
        <f t="shared" si="32"/>
        <v>207.7</v>
      </c>
      <c r="K47" s="117">
        <f t="shared" si="33"/>
        <v>19.27</v>
      </c>
      <c r="L47" s="118">
        <v>60</v>
      </c>
      <c r="M47" s="118">
        <f t="shared" si="34"/>
        <v>946.34</v>
      </c>
      <c r="N47" s="41">
        <f t="shared" si="35"/>
        <v>659.37</v>
      </c>
      <c r="O47" s="117">
        <f t="shared" si="36"/>
        <v>94.2</v>
      </c>
      <c r="P47" s="117">
        <f t="shared" si="37"/>
        <v>188.39</v>
      </c>
      <c r="Q47" s="117">
        <f t="shared" si="38"/>
        <v>376.78</v>
      </c>
    </row>
    <row r="48" s="1" customFormat="1" ht="18" customHeight="1" spans="1:17">
      <c r="A48" s="10">
        <v>440825</v>
      </c>
      <c r="B48" s="10" t="s">
        <v>75</v>
      </c>
      <c r="C48" s="120">
        <v>0.85</v>
      </c>
      <c r="D48" s="10" t="s">
        <v>78</v>
      </c>
      <c r="E48" s="46">
        <v>454269</v>
      </c>
      <c r="F48" s="46">
        <v>18583</v>
      </c>
      <c r="G48" s="110">
        <f t="shared" si="29"/>
        <v>299405</v>
      </c>
      <c r="H48" s="110">
        <f t="shared" si="30"/>
        <v>26946</v>
      </c>
      <c r="I48" s="115">
        <f t="shared" si="31"/>
        <v>598.81</v>
      </c>
      <c r="J48" s="116">
        <f t="shared" si="32"/>
        <v>188.63</v>
      </c>
      <c r="K48" s="117">
        <f t="shared" si="33"/>
        <v>18.21</v>
      </c>
      <c r="L48" s="118">
        <v>60</v>
      </c>
      <c r="M48" s="118">
        <f t="shared" si="34"/>
        <v>865.65</v>
      </c>
      <c r="N48" s="41">
        <f t="shared" si="35"/>
        <v>598.81</v>
      </c>
      <c r="O48" s="117">
        <f t="shared" si="36"/>
        <v>85.54</v>
      </c>
      <c r="P48" s="117">
        <f t="shared" si="37"/>
        <v>171.09</v>
      </c>
      <c r="Q48" s="117">
        <f t="shared" si="38"/>
        <v>342.18</v>
      </c>
    </row>
    <row r="49" s="1" customFormat="1" ht="18" customHeight="1" spans="1:17">
      <c r="A49" s="10">
        <v>440881</v>
      </c>
      <c r="B49" s="10" t="s">
        <v>75</v>
      </c>
      <c r="C49" s="120">
        <v>0.85</v>
      </c>
      <c r="D49" s="10" t="s">
        <v>79</v>
      </c>
      <c r="E49" s="46">
        <v>801879</v>
      </c>
      <c r="F49" s="46">
        <v>28973</v>
      </c>
      <c r="G49" s="110">
        <f t="shared" si="29"/>
        <v>532342</v>
      </c>
      <c r="H49" s="110">
        <f t="shared" si="30"/>
        <v>47911</v>
      </c>
      <c r="I49" s="115">
        <f t="shared" si="31"/>
        <v>1064.68</v>
      </c>
      <c r="J49" s="116">
        <f t="shared" si="32"/>
        <v>335.38</v>
      </c>
      <c r="K49" s="117">
        <f t="shared" si="33"/>
        <v>30.75</v>
      </c>
      <c r="L49" s="118">
        <v>60</v>
      </c>
      <c r="M49" s="118">
        <f t="shared" si="34"/>
        <v>1490.81</v>
      </c>
      <c r="N49" s="41">
        <f t="shared" si="35"/>
        <v>1064.68</v>
      </c>
      <c r="O49" s="117">
        <f t="shared" si="36"/>
        <v>152.1</v>
      </c>
      <c r="P49" s="117">
        <f t="shared" si="37"/>
        <v>304.2</v>
      </c>
      <c r="Q49" s="117">
        <f t="shared" si="38"/>
        <v>608.38</v>
      </c>
    </row>
    <row r="50" s="1" customFormat="1" ht="18" customHeight="1" spans="1:17">
      <c r="A50" s="10">
        <v>440882</v>
      </c>
      <c r="B50" s="10" t="s">
        <v>75</v>
      </c>
      <c r="C50" s="120">
        <v>0.85</v>
      </c>
      <c r="D50" s="10" t="s">
        <v>80</v>
      </c>
      <c r="E50" s="46">
        <v>775857</v>
      </c>
      <c r="F50" s="46">
        <v>16123</v>
      </c>
      <c r="G50" s="110">
        <f t="shared" si="29"/>
        <v>526977</v>
      </c>
      <c r="H50" s="110">
        <f t="shared" si="30"/>
        <v>47428</v>
      </c>
      <c r="I50" s="115">
        <f t="shared" si="31"/>
        <v>1053.95</v>
      </c>
      <c r="J50" s="116">
        <f t="shared" si="32"/>
        <v>332</v>
      </c>
      <c r="K50" s="117">
        <f t="shared" si="33"/>
        <v>25.42</v>
      </c>
      <c r="L50" s="118">
        <v>60</v>
      </c>
      <c r="M50" s="118">
        <f t="shared" si="34"/>
        <v>1471.37</v>
      </c>
      <c r="N50" s="41">
        <f t="shared" si="35"/>
        <v>1053.95</v>
      </c>
      <c r="O50" s="117">
        <f t="shared" si="36"/>
        <v>150.56</v>
      </c>
      <c r="P50" s="117">
        <f t="shared" si="37"/>
        <v>301.13</v>
      </c>
      <c r="Q50" s="117">
        <f t="shared" si="38"/>
        <v>602.26</v>
      </c>
    </row>
    <row r="51" s="1" customFormat="1" ht="18" customHeight="1" spans="1:17">
      <c r="A51" s="10">
        <v>440883</v>
      </c>
      <c r="B51" s="10" t="s">
        <v>75</v>
      </c>
      <c r="C51" s="120">
        <v>0.85</v>
      </c>
      <c r="D51" s="10" t="s">
        <v>81</v>
      </c>
      <c r="E51" s="46">
        <v>549946</v>
      </c>
      <c r="F51" s="46">
        <v>53658</v>
      </c>
      <c r="G51" s="110">
        <f t="shared" si="29"/>
        <v>331304</v>
      </c>
      <c r="H51" s="110">
        <f t="shared" si="30"/>
        <v>29817</v>
      </c>
      <c r="I51" s="115">
        <f t="shared" si="31"/>
        <v>662.61</v>
      </c>
      <c r="J51" s="116">
        <f t="shared" si="32"/>
        <v>208.72</v>
      </c>
      <c r="K51" s="117">
        <f t="shared" si="33"/>
        <v>33.39</v>
      </c>
      <c r="L51" s="118">
        <v>60</v>
      </c>
      <c r="M51" s="118">
        <f t="shared" si="34"/>
        <v>964.72</v>
      </c>
      <c r="N51" s="41">
        <f t="shared" si="35"/>
        <v>662.61</v>
      </c>
      <c r="O51" s="117">
        <f t="shared" si="36"/>
        <v>94.66</v>
      </c>
      <c r="P51" s="117">
        <f t="shared" si="37"/>
        <v>189.32</v>
      </c>
      <c r="Q51" s="117">
        <f t="shared" si="38"/>
        <v>378.63</v>
      </c>
    </row>
    <row r="52" s="4" customFormat="1" ht="18" customHeight="1" spans="1:17">
      <c r="A52" s="22">
        <v>440900</v>
      </c>
      <c r="B52" s="22" t="s">
        <v>82</v>
      </c>
      <c r="C52" s="107"/>
      <c r="D52" s="23" t="s">
        <v>83</v>
      </c>
      <c r="E52" s="108">
        <f t="shared" ref="E52:Q52" si="39">SUM(E53:E58)</f>
        <v>3404285</v>
      </c>
      <c r="F52" s="108">
        <f t="shared" si="39"/>
        <v>80589</v>
      </c>
      <c r="G52" s="108">
        <f t="shared" si="39"/>
        <v>2202410</v>
      </c>
      <c r="H52" s="108">
        <f t="shared" si="39"/>
        <v>198217</v>
      </c>
      <c r="I52" s="114">
        <f t="shared" si="39"/>
        <v>4404.83</v>
      </c>
      <c r="J52" s="107">
        <f t="shared" si="39"/>
        <v>1387.52</v>
      </c>
      <c r="K52" s="114">
        <f t="shared" si="39"/>
        <v>111.53</v>
      </c>
      <c r="L52" s="114">
        <f t="shared" si="39"/>
        <v>325</v>
      </c>
      <c r="M52" s="114">
        <f t="shared" si="39"/>
        <v>6228.88</v>
      </c>
      <c r="N52" s="114">
        <f t="shared" si="39"/>
        <v>4404.83</v>
      </c>
      <c r="O52" s="114">
        <f t="shared" si="39"/>
        <v>657.83</v>
      </c>
      <c r="P52" s="114">
        <f t="shared" si="39"/>
        <v>1315.67</v>
      </c>
      <c r="Q52" s="114">
        <f t="shared" si="39"/>
        <v>2431.33</v>
      </c>
    </row>
    <row r="53" s="4" customFormat="1" ht="18" customHeight="1" spans="1:17">
      <c r="A53" s="22"/>
      <c r="B53" s="22"/>
      <c r="C53" s="120">
        <v>0.85</v>
      </c>
      <c r="D53" s="10" t="s">
        <v>58</v>
      </c>
      <c r="E53" s="108"/>
      <c r="F53" s="108"/>
      <c r="G53" s="108"/>
      <c r="H53" s="108"/>
      <c r="I53" s="115">
        <f t="shared" ref="I53:I58" si="40">ROUND(G53*20/10000,2)</f>
        <v>0</v>
      </c>
      <c r="J53" s="107">
        <v>0</v>
      </c>
      <c r="K53" s="117">
        <f>ROUND(H53*0.4*10/10000,2)</f>
        <v>0</v>
      </c>
      <c r="L53" s="118">
        <v>25</v>
      </c>
      <c r="M53" s="118">
        <f t="shared" ref="M53:M58" si="41">SUM(I53:L53)</f>
        <v>25</v>
      </c>
      <c r="N53" s="41">
        <f t="shared" ref="N53:N58" si="42">I53</f>
        <v>0</v>
      </c>
      <c r="O53" s="117">
        <f t="shared" ref="O53:O58" si="43">ROUND((E53-F53/0.7)*0.1*0.002,2)</f>
        <v>0</v>
      </c>
      <c r="P53" s="117">
        <f t="shared" ref="P53:P58" si="44">ROUND((E53-F53/0.7)*0.2*0.002,2)</f>
        <v>0</v>
      </c>
      <c r="Q53" s="117">
        <f t="shared" ref="Q53:Q58" si="45">N53-O53-P53</f>
        <v>0</v>
      </c>
    </row>
    <row r="54" s="4" customFormat="1" ht="18" customHeight="1" spans="1:17">
      <c r="A54" s="22"/>
      <c r="B54" s="22"/>
      <c r="C54" s="109" t="s">
        <v>161</v>
      </c>
      <c r="D54" s="45" t="s">
        <v>175</v>
      </c>
      <c r="E54" s="46">
        <v>650822</v>
      </c>
      <c r="F54" s="108"/>
      <c r="G54" s="110">
        <f>ROUND(E54*0.7-F54,0)</f>
        <v>455575</v>
      </c>
      <c r="H54" s="110">
        <f>ROUND(G54*0.09,0)</f>
        <v>41002</v>
      </c>
      <c r="I54" s="115">
        <f t="shared" si="40"/>
        <v>911.15</v>
      </c>
      <c r="J54" s="116">
        <f>ROUND(G54*0.5*0.6*21/10000,2)</f>
        <v>287.01</v>
      </c>
      <c r="K54" s="117">
        <f>ROUND((H54+F54)*0.4*10/10000,2)</f>
        <v>16.4</v>
      </c>
      <c r="L54" s="118">
        <v>60</v>
      </c>
      <c r="M54" s="118">
        <f t="shared" si="41"/>
        <v>1274.56</v>
      </c>
      <c r="N54" s="41">
        <f t="shared" si="42"/>
        <v>911.15</v>
      </c>
      <c r="O54" s="117">
        <f t="shared" si="43"/>
        <v>130.16</v>
      </c>
      <c r="P54" s="117">
        <f t="shared" si="44"/>
        <v>260.33</v>
      </c>
      <c r="Q54" s="117">
        <f t="shared" si="45"/>
        <v>520.66</v>
      </c>
    </row>
    <row r="55" s="4" customFormat="1" ht="18" customHeight="1" spans="1:17">
      <c r="A55" s="22"/>
      <c r="B55" s="22"/>
      <c r="C55" s="109" t="s">
        <v>161</v>
      </c>
      <c r="D55" s="45" t="s">
        <v>176</v>
      </c>
      <c r="E55" s="46">
        <v>893200</v>
      </c>
      <c r="F55" s="108"/>
      <c r="G55" s="110">
        <f>ROUND(E55*0.7-F55,0)</f>
        <v>625240</v>
      </c>
      <c r="H55" s="110">
        <f>ROUND(G55*0.09,0)</f>
        <v>56272</v>
      </c>
      <c r="I55" s="115">
        <f t="shared" si="40"/>
        <v>1250.48</v>
      </c>
      <c r="J55" s="116">
        <f>ROUND(G55*0.5*0.6*21/10000,2)</f>
        <v>393.9</v>
      </c>
      <c r="K55" s="117">
        <f>ROUND((H55+F55)*0.4*10/10000,2)</f>
        <v>22.51</v>
      </c>
      <c r="L55" s="118">
        <v>60</v>
      </c>
      <c r="M55" s="118">
        <f t="shared" si="41"/>
        <v>1726.89</v>
      </c>
      <c r="N55" s="41">
        <f t="shared" si="42"/>
        <v>1250.48</v>
      </c>
      <c r="O55" s="117">
        <f t="shared" si="43"/>
        <v>178.64</v>
      </c>
      <c r="P55" s="117">
        <f t="shared" si="44"/>
        <v>357.28</v>
      </c>
      <c r="Q55" s="117">
        <f t="shared" si="45"/>
        <v>714.56</v>
      </c>
    </row>
    <row r="56" s="1" customFormat="1" ht="18" customHeight="1" spans="1:17">
      <c r="A56" s="10">
        <v>440981</v>
      </c>
      <c r="B56" s="10" t="s">
        <v>82</v>
      </c>
      <c r="C56" s="120">
        <v>0.85</v>
      </c>
      <c r="D56" s="10" t="s">
        <v>84</v>
      </c>
      <c r="E56" s="46">
        <v>712309</v>
      </c>
      <c r="F56" s="46">
        <v>35048</v>
      </c>
      <c r="G56" s="110">
        <f t="shared" ref="G56:G65" si="46">ROUND(E56*0.7-F56,0)</f>
        <v>463568</v>
      </c>
      <c r="H56" s="110">
        <f t="shared" ref="H56:H58" si="47">ROUND(G56*0.09,0)</f>
        <v>41721</v>
      </c>
      <c r="I56" s="115">
        <f t="shared" si="40"/>
        <v>927.14</v>
      </c>
      <c r="J56" s="116">
        <f t="shared" ref="J56:J58" si="48">ROUND(G56*0.5*0.6*21/10000,2)</f>
        <v>292.05</v>
      </c>
      <c r="K56" s="117">
        <f t="shared" ref="K56:K58" si="49">ROUND((H56+F56)*0.4*10/10000,2)</f>
        <v>30.71</v>
      </c>
      <c r="L56" s="118">
        <v>60</v>
      </c>
      <c r="M56" s="118">
        <f t="shared" si="41"/>
        <v>1309.9</v>
      </c>
      <c r="N56" s="41">
        <f t="shared" si="42"/>
        <v>927.14</v>
      </c>
      <c r="O56" s="117">
        <f t="shared" si="43"/>
        <v>132.45</v>
      </c>
      <c r="P56" s="117">
        <f t="shared" si="44"/>
        <v>264.9</v>
      </c>
      <c r="Q56" s="117">
        <f t="shared" si="45"/>
        <v>529.79</v>
      </c>
    </row>
    <row r="57" s="1" customFormat="1" ht="18" customHeight="1" spans="1:17">
      <c r="A57" s="10">
        <v>440982</v>
      </c>
      <c r="B57" s="10" t="s">
        <v>82</v>
      </c>
      <c r="C57" s="120">
        <v>0.85</v>
      </c>
      <c r="D57" s="10" t="s">
        <v>85</v>
      </c>
      <c r="E57" s="46">
        <v>614131</v>
      </c>
      <c r="F57" s="46">
        <v>19558</v>
      </c>
      <c r="G57" s="123">
        <f>ROUND(E57*0.7-100000-F57,0)</f>
        <v>310334</v>
      </c>
      <c r="H57" s="110">
        <f t="shared" si="47"/>
        <v>27930</v>
      </c>
      <c r="I57" s="115">
        <f t="shared" si="40"/>
        <v>620.67</v>
      </c>
      <c r="J57" s="116">
        <f t="shared" si="48"/>
        <v>195.51</v>
      </c>
      <c r="K57" s="117">
        <f t="shared" si="49"/>
        <v>19</v>
      </c>
      <c r="L57" s="118">
        <v>60</v>
      </c>
      <c r="M57" s="118">
        <f t="shared" si="41"/>
        <v>895.18</v>
      </c>
      <c r="N57" s="41">
        <f t="shared" si="42"/>
        <v>620.67</v>
      </c>
      <c r="O57" s="117">
        <f t="shared" si="43"/>
        <v>117.24</v>
      </c>
      <c r="P57" s="117">
        <f t="shared" si="44"/>
        <v>234.48</v>
      </c>
      <c r="Q57" s="117">
        <f t="shared" si="45"/>
        <v>268.95</v>
      </c>
    </row>
    <row r="58" s="1" customFormat="1" ht="18" customHeight="1" spans="1:17">
      <c r="A58" s="10">
        <v>440983</v>
      </c>
      <c r="B58" s="10" t="s">
        <v>82</v>
      </c>
      <c r="C58" s="120">
        <v>0.85</v>
      </c>
      <c r="D58" s="10" t="s">
        <v>86</v>
      </c>
      <c r="E58" s="46">
        <v>533823</v>
      </c>
      <c r="F58" s="46">
        <v>25983</v>
      </c>
      <c r="G58" s="110">
        <f t="shared" si="46"/>
        <v>347693</v>
      </c>
      <c r="H58" s="110">
        <f t="shared" si="47"/>
        <v>31292</v>
      </c>
      <c r="I58" s="115">
        <f t="shared" si="40"/>
        <v>695.39</v>
      </c>
      <c r="J58" s="116">
        <f t="shared" si="48"/>
        <v>219.05</v>
      </c>
      <c r="K58" s="117">
        <f t="shared" si="49"/>
        <v>22.91</v>
      </c>
      <c r="L58" s="118">
        <v>60</v>
      </c>
      <c r="M58" s="118">
        <f t="shared" si="41"/>
        <v>997.35</v>
      </c>
      <c r="N58" s="41">
        <f t="shared" si="42"/>
        <v>695.39</v>
      </c>
      <c r="O58" s="117">
        <f t="shared" si="43"/>
        <v>99.34</v>
      </c>
      <c r="P58" s="117">
        <f t="shared" si="44"/>
        <v>198.68</v>
      </c>
      <c r="Q58" s="117">
        <f t="shared" si="45"/>
        <v>397.37</v>
      </c>
    </row>
    <row r="59" s="4" customFormat="1" ht="18" customHeight="1" spans="1:17">
      <c r="A59" s="22">
        <v>441200</v>
      </c>
      <c r="B59" s="22" t="s">
        <v>87</v>
      </c>
      <c r="C59" s="107"/>
      <c r="D59" s="23" t="s">
        <v>88</v>
      </c>
      <c r="E59" s="108">
        <f t="shared" ref="E59:Q59" si="50">SUM(E60:E65)</f>
        <v>1384019</v>
      </c>
      <c r="F59" s="108">
        <f t="shared" si="50"/>
        <v>71147</v>
      </c>
      <c r="G59" s="108">
        <f t="shared" si="50"/>
        <v>897667</v>
      </c>
      <c r="H59" s="108">
        <f t="shared" si="50"/>
        <v>80790</v>
      </c>
      <c r="I59" s="114">
        <f t="shared" si="50"/>
        <v>1795.32</v>
      </c>
      <c r="J59" s="107">
        <f t="shared" si="50"/>
        <v>565.54</v>
      </c>
      <c r="K59" s="114">
        <f t="shared" si="50"/>
        <v>60.77</v>
      </c>
      <c r="L59" s="114">
        <f t="shared" si="50"/>
        <v>325</v>
      </c>
      <c r="M59" s="114">
        <f t="shared" si="50"/>
        <v>2746.63</v>
      </c>
      <c r="N59" s="114">
        <f t="shared" si="50"/>
        <v>1795.32</v>
      </c>
      <c r="O59" s="114">
        <f t="shared" si="50"/>
        <v>256.48</v>
      </c>
      <c r="P59" s="114">
        <f t="shared" si="50"/>
        <v>512.95</v>
      </c>
      <c r="Q59" s="114">
        <f t="shared" si="50"/>
        <v>1025.89</v>
      </c>
    </row>
    <row r="60" s="4" customFormat="1" ht="18" customHeight="1" spans="1:17">
      <c r="A60" s="22"/>
      <c r="B60" s="22"/>
      <c r="C60" s="120">
        <v>0.65</v>
      </c>
      <c r="D60" s="10" t="s">
        <v>58</v>
      </c>
      <c r="E60" s="108"/>
      <c r="F60" s="108"/>
      <c r="G60" s="108"/>
      <c r="H60" s="108"/>
      <c r="I60" s="115">
        <f t="shared" ref="I60:I65" si="51">ROUND(G60*20/10000,2)</f>
        <v>0</v>
      </c>
      <c r="J60" s="107">
        <v>0</v>
      </c>
      <c r="K60" s="117">
        <f>ROUND(H60*0.4*10/10000,2)</f>
        <v>0</v>
      </c>
      <c r="L60" s="118">
        <v>25</v>
      </c>
      <c r="M60" s="118">
        <f t="shared" ref="M60:M65" si="52">SUM(I60:L60)</f>
        <v>25</v>
      </c>
      <c r="N60" s="41">
        <f t="shared" ref="N60:N65" si="53">I60</f>
        <v>0</v>
      </c>
      <c r="O60" s="117">
        <f t="shared" ref="O60:O65" si="54">ROUND((E60-F60/0.7)*0.1*0.002,2)</f>
        <v>0</v>
      </c>
      <c r="P60" s="117">
        <f t="shared" ref="P60:P65" si="55">ROUND((E60-F60/0.7)*0.2*0.002,2)</f>
        <v>0</v>
      </c>
      <c r="Q60" s="117">
        <f t="shared" ref="Q60:Q65" si="56">N60-O60-P60</f>
        <v>0</v>
      </c>
    </row>
    <row r="61" s="1" customFormat="1" ht="18" customHeight="1" spans="1:17">
      <c r="A61" s="10">
        <v>441223</v>
      </c>
      <c r="B61" s="10" t="s">
        <v>87</v>
      </c>
      <c r="C61" s="120">
        <v>0.85</v>
      </c>
      <c r="D61" s="10" t="s">
        <v>89</v>
      </c>
      <c r="E61" s="46">
        <v>254266</v>
      </c>
      <c r="F61" s="46">
        <v>14149</v>
      </c>
      <c r="G61" s="110">
        <f t="shared" si="46"/>
        <v>163837</v>
      </c>
      <c r="H61" s="110">
        <f t="shared" ref="H61:H65" si="57">ROUND(G61*0.09,0)</f>
        <v>14745</v>
      </c>
      <c r="I61" s="115">
        <f t="shared" si="51"/>
        <v>327.67</v>
      </c>
      <c r="J61" s="116">
        <f t="shared" ref="J61:J65" si="58">ROUND(G61*0.5*0.6*21/10000,2)</f>
        <v>103.22</v>
      </c>
      <c r="K61" s="117">
        <f t="shared" ref="K61:K65" si="59">ROUND((H61+F61)*0.4*10/10000,2)</f>
        <v>11.56</v>
      </c>
      <c r="L61" s="118">
        <v>60</v>
      </c>
      <c r="M61" s="118">
        <f t="shared" si="52"/>
        <v>502.45</v>
      </c>
      <c r="N61" s="41">
        <f t="shared" si="53"/>
        <v>327.67</v>
      </c>
      <c r="O61" s="117">
        <f t="shared" si="54"/>
        <v>46.81</v>
      </c>
      <c r="P61" s="117">
        <f t="shared" si="55"/>
        <v>93.62</v>
      </c>
      <c r="Q61" s="117">
        <f t="shared" si="56"/>
        <v>187.24</v>
      </c>
    </row>
    <row r="62" s="1" customFormat="1" ht="18" customHeight="1" spans="1:17">
      <c r="A62" s="10">
        <v>441224</v>
      </c>
      <c r="B62" s="10" t="s">
        <v>87</v>
      </c>
      <c r="C62" s="120">
        <v>0.85</v>
      </c>
      <c r="D62" s="10" t="s">
        <v>90</v>
      </c>
      <c r="E62" s="46">
        <v>386138</v>
      </c>
      <c r="F62" s="46">
        <v>23002</v>
      </c>
      <c r="G62" s="110">
        <f t="shared" si="46"/>
        <v>247295</v>
      </c>
      <c r="H62" s="110">
        <f t="shared" si="57"/>
        <v>22257</v>
      </c>
      <c r="I62" s="115">
        <f t="shared" si="51"/>
        <v>494.59</v>
      </c>
      <c r="J62" s="116">
        <f t="shared" si="58"/>
        <v>155.8</v>
      </c>
      <c r="K62" s="117">
        <f t="shared" si="59"/>
        <v>18.1</v>
      </c>
      <c r="L62" s="118">
        <v>60</v>
      </c>
      <c r="M62" s="118">
        <f t="shared" si="52"/>
        <v>728.49</v>
      </c>
      <c r="N62" s="41">
        <f t="shared" si="53"/>
        <v>494.59</v>
      </c>
      <c r="O62" s="117">
        <f t="shared" si="54"/>
        <v>70.66</v>
      </c>
      <c r="P62" s="117">
        <f t="shared" si="55"/>
        <v>141.31</v>
      </c>
      <c r="Q62" s="117">
        <f t="shared" si="56"/>
        <v>282.62</v>
      </c>
    </row>
    <row r="63" s="1" customFormat="1" ht="18" customHeight="1" spans="1:17">
      <c r="A63" s="10">
        <v>441225</v>
      </c>
      <c r="B63" s="10" t="s">
        <v>87</v>
      </c>
      <c r="C63" s="120">
        <v>0.85</v>
      </c>
      <c r="D63" s="10" t="s">
        <v>91</v>
      </c>
      <c r="E63" s="46">
        <v>196861</v>
      </c>
      <c r="F63" s="46">
        <v>14286</v>
      </c>
      <c r="G63" s="110">
        <f t="shared" si="46"/>
        <v>123517</v>
      </c>
      <c r="H63" s="110">
        <f t="shared" si="57"/>
        <v>11117</v>
      </c>
      <c r="I63" s="115">
        <f t="shared" si="51"/>
        <v>247.03</v>
      </c>
      <c r="J63" s="116">
        <f t="shared" si="58"/>
        <v>77.82</v>
      </c>
      <c r="K63" s="117">
        <f t="shared" si="59"/>
        <v>10.16</v>
      </c>
      <c r="L63" s="118">
        <v>60</v>
      </c>
      <c r="M63" s="118">
        <f t="shared" si="52"/>
        <v>395.01</v>
      </c>
      <c r="N63" s="41">
        <f t="shared" si="53"/>
        <v>247.03</v>
      </c>
      <c r="O63" s="117">
        <f t="shared" si="54"/>
        <v>35.29</v>
      </c>
      <c r="P63" s="117">
        <f t="shared" si="55"/>
        <v>70.58</v>
      </c>
      <c r="Q63" s="117">
        <f t="shared" si="56"/>
        <v>141.16</v>
      </c>
    </row>
    <row r="64" s="1" customFormat="1" ht="18" customHeight="1" spans="1:17">
      <c r="A64" s="10">
        <v>441226</v>
      </c>
      <c r="B64" s="10" t="s">
        <v>87</v>
      </c>
      <c r="C64" s="120">
        <v>0.85</v>
      </c>
      <c r="D64" s="10" t="s">
        <v>92</v>
      </c>
      <c r="E64" s="46">
        <v>207985</v>
      </c>
      <c r="F64" s="46">
        <v>6944</v>
      </c>
      <c r="G64" s="110">
        <f t="shared" si="46"/>
        <v>138646</v>
      </c>
      <c r="H64" s="110">
        <f t="shared" si="57"/>
        <v>12478</v>
      </c>
      <c r="I64" s="115">
        <f t="shared" si="51"/>
        <v>277.29</v>
      </c>
      <c r="J64" s="116">
        <f t="shared" si="58"/>
        <v>87.35</v>
      </c>
      <c r="K64" s="117">
        <f t="shared" si="59"/>
        <v>7.77</v>
      </c>
      <c r="L64" s="118">
        <v>60</v>
      </c>
      <c r="M64" s="118">
        <f t="shared" si="52"/>
        <v>432.41</v>
      </c>
      <c r="N64" s="41">
        <f t="shared" si="53"/>
        <v>277.29</v>
      </c>
      <c r="O64" s="117">
        <f t="shared" si="54"/>
        <v>39.61</v>
      </c>
      <c r="P64" s="117">
        <f t="shared" si="55"/>
        <v>79.23</v>
      </c>
      <c r="Q64" s="117">
        <f t="shared" si="56"/>
        <v>158.45</v>
      </c>
    </row>
    <row r="65" s="1" customFormat="1" ht="18" customHeight="1" spans="1:17">
      <c r="A65" s="10">
        <v>441284</v>
      </c>
      <c r="B65" s="10" t="s">
        <v>87</v>
      </c>
      <c r="C65" s="120">
        <v>0.65</v>
      </c>
      <c r="D65" s="10" t="s">
        <v>93</v>
      </c>
      <c r="E65" s="46">
        <v>338769</v>
      </c>
      <c r="F65" s="46">
        <v>12766</v>
      </c>
      <c r="G65" s="110">
        <f t="shared" si="46"/>
        <v>224372</v>
      </c>
      <c r="H65" s="110">
        <f t="shared" si="57"/>
        <v>20193</v>
      </c>
      <c r="I65" s="115">
        <f t="shared" si="51"/>
        <v>448.74</v>
      </c>
      <c r="J65" s="116">
        <f t="shared" si="58"/>
        <v>141.35</v>
      </c>
      <c r="K65" s="117">
        <f t="shared" si="59"/>
        <v>13.18</v>
      </c>
      <c r="L65" s="118">
        <v>60</v>
      </c>
      <c r="M65" s="118">
        <f t="shared" si="52"/>
        <v>663.27</v>
      </c>
      <c r="N65" s="41">
        <f t="shared" si="53"/>
        <v>448.74</v>
      </c>
      <c r="O65" s="117">
        <f t="shared" si="54"/>
        <v>64.11</v>
      </c>
      <c r="P65" s="117">
        <f t="shared" si="55"/>
        <v>128.21</v>
      </c>
      <c r="Q65" s="117">
        <f t="shared" si="56"/>
        <v>256.42</v>
      </c>
    </row>
    <row r="66" s="4" customFormat="1" ht="18" customHeight="1" spans="1:17">
      <c r="A66" s="22">
        <v>441300</v>
      </c>
      <c r="B66" s="22" t="s">
        <v>94</v>
      </c>
      <c r="C66" s="107"/>
      <c r="D66" s="23" t="s">
        <v>95</v>
      </c>
      <c r="E66" s="108">
        <f t="shared" ref="E66:Q66" si="60">SUM(E67:E70)</f>
        <v>1656785</v>
      </c>
      <c r="F66" s="108">
        <f t="shared" si="60"/>
        <v>45262</v>
      </c>
      <c r="G66" s="108">
        <f t="shared" si="60"/>
        <v>1114488</v>
      </c>
      <c r="H66" s="108">
        <f t="shared" si="60"/>
        <v>100303</v>
      </c>
      <c r="I66" s="114">
        <f t="shared" si="60"/>
        <v>2228.98</v>
      </c>
      <c r="J66" s="107">
        <f t="shared" si="60"/>
        <v>702.12</v>
      </c>
      <c r="K66" s="114">
        <f t="shared" si="60"/>
        <v>58.23</v>
      </c>
      <c r="L66" s="114">
        <f t="shared" si="60"/>
        <v>205</v>
      </c>
      <c r="M66" s="114">
        <f t="shared" si="60"/>
        <v>3194.33</v>
      </c>
      <c r="N66" s="114">
        <f t="shared" si="60"/>
        <v>2228.98</v>
      </c>
      <c r="O66" s="114">
        <f t="shared" si="60"/>
        <v>318.42</v>
      </c>
      <c r="P66" s="114">
        <f t="shared" si="60"/>
        <v>636.85</v>
      </c>
      <c r="Q66" s="114">
        <f t="shared" si="60"/>
        <v>1273.71</v>
      </c>
    </row>
    <row r="67" s="4" customFormat="1" ht="18" customHeight="1" spans="1:17">
      <c r="A67" s="22"/>
      <c r="B67" s="22"/>
      <c r="C67" s="120">
        <v>0.65</v>
      </c>
      <c r="D67" s="10" t="s">
        <v>58</v>
      </c>
      <c r="E67" s="108"/>
      <c r="F67" s="108"/>
      <c r="G67" s="108"/>
      <c r="H67" s="108"/>
      <c r="I67" s="115">
        <f t="shared" ref="I67:I70" si="61">ROUND(G67*20/10000,2)</f>
        <v>0</v>
      </c>
      <c r="J67" s="107">
        <v>0</v>
      </c>
      <c r="K67" s="117">
        <f>ROUND(H67*0.4*10/10000,2)</f>
        <v>0</v>
      </c>
      <c r="L67" s="118">
        <v>25</v>
      </c>
      <c r="M67" s="118">
        <f>SUM(I67:L67)</f>
        <v>25</v>
      </c>
      <c r="N67" s="41">
        <f>I67</f>
        <v>0</v>
      </c>
      <c r="O67" s="117">
        <f>ROUND((E67-F67/0.7)*0.1*0.002,2)</f>
        <v>0</v>
      </c>
      <c r="P67" s="117">
        <f>ROUND((E67-F67/0.7)*0.2*0.002,2)</f>
        <v>0</v>
      </c>
      <c r="Q67" s="117">
        <f>N67-O67-P67</f>
        <v>0</v>
      </c>
    </row>
    <row r="68" s="1" customFormat="1" ht="18" customHeight="1" spans="1:17">
      <c r="A68" s="10">
        <v>441322</v>
      </c>
      <c r="B68" s="10" t="s">
        <v>94</v>
      </c>
      <c r="C68" s="120">
        <v>0.65</v>
      </c>
      <c r="D68" s="10" t="s">
        <v>96</v>
      </c>
      <c r="E68" s="46">
        <v>826100</v>
      </c>
      <c r="F68" s="46">
        <v>33822</v>
      </c>
      <c r="G68" s="110">
        <f t="shared" ref="G68:G70" si="62">ROUND(E68*0.7-F68,0)</f>
        <v>544448</v>
      </c>
      <c r="H68" s="110">
        <f t="shared" ref="H68:H70" si="63">ROUND(G68*0.09,0)</f>
        <v>49000</v>
      </c>
      <c r="I68" s="115">
        <f t="shared" si="61"/>
        <v>1088.9</v>
      </c>
      <c r="J68" s="116">
        <f t="shared" ref="J68:J70" si="64">ROUND(G68*0.5*0.6*21/10000,2)</f>
        <v>343</v>
      </c>
      <c r="K68" s="117">
        <f t="shared" ref="K68:K70" si="65">ROUND((H68+F68)*0.4*10/10000,2)</f>
        <v>33.13</v>
      </c>
      <c r="L68" s="118">
        <v>60</v>
      </c>
      <c r="M68" s="118">
        <f>SUM(I68:L68)</f>
        <v>1525.03</v>
      </c>
      <c r="N68" s="41">
        <f>I68</f>
        <v>1088.9</v>
      </c>
      <c r="O68" s="117">
        <f>ROUND((E68-F68/0.7)*0.1*0.002,2)</f>
        <v>155.56</v>
      </c>
      <c r="P68" s="117">
        <f>ROUND((E68-F68/0.7)*0.2*0.002,2)</f>
        <v>311.11</v>
      </c>
      <c r="Q68" s="117">
        <f>N68-O68-P68</f>
        <v>622.23</v>
      </c>
    </row>
    <row r="69" s="1" customFormat="1" ht="18" customHeight="1" spans="1:17">
      <c r="A69" s="10">
        <v>441323</v>
      </c>
      <c r="B69" s="10" t="s">
        <v>94</v>
      </c>
      <c r="C69" s="120">
        <v>1</v>
      </c>
      <c r="D69" s="10" t="s">
        <v>97</v>
      </c>
      <c r="E69" s="46">
        <v>667221</v>
      </c>
      <c r="F69" s="46">
        <v>10117</v>
      </c>
      <c r="G69" s="110">
        <f t="shared" si="62"/>
        <v>456938</v>
      </c>
      <c r="H69" s="110">
        <f t="shared" si="63"/>
        <v>41124</v>
      </c>
      <c r="I69" s="115">
        <f t="shared" si="61"/>
        <v>913.88</v>
      </c>
      <c r="J69" s="116">
        <f t="shared" si="64"/>
        <v>287.87</v>
      </c>
      <c r="K69" s="117">
        <f t="shared" si="65"/>
        <v>20.5</v>
      </c>
      <c r="L69" s="118">
        <v>60</v>
      </c>
      <c r="M69" s="118">
        <f>SUM(I69:L69)</f>
        <v>1282.25</v>
      </c>
      <c r="N69" s="41">
        <f>I69</f>
        <v>913.88</v>
      </c>
      <c r="O69" s="117">
        <f>ROUND((E69-F69/0.7)*0.1*0.002,2)</f>
        <v>130.55</v>
      </c>
      <c r="P69" s="117">
        <f>ROUND((E69-F69/0.7)*0.2*0.002,2)</f>
        <v>261.11</v>
      </c>
      <c r="Q69" s="117">
        <f>N69-O69-P69</f>
        <v>522.22</v>
      </c>
    </row>
    <row r="70" s="1" customFormat="1" ht="18" customHeight="1" spans="1:17">
      <c r="A70" s="10">
        <v>441324</v>
      </c>
      <c r="B70" s="10" t="s">
        <v>94</v>
      </c>
      <c r="C70" s="120">
        <v>0.85</v>
      </c>
      <c r="D70" s="10" t="s">
        <v>98</v>
      </c>
      <c r="E70" s="46">
        <v>163464</v>
      </c>
      <c r="F70" s="46">
        <v>1323</v>
      </c>
      <c r="G70" s="110">
        <f t="shared" si="62"/>
        <v>113102</v>
      </c>
      <c r="H70" s="110">
        <f t="shared" si="63"/>
        <v>10179</v>
      </c>
      <c r="I70" s="115">
        <f t="shared" si="61"/>
        <v>226.2</v>
      </c>
      <c r="J70" s="116">
        <f t="shared" si="64"/>
        <v>71.25</v>
      </c>
      <c r="K70" s="117">
        <f t="shared" si="65"/>
        <v>4.6</v>
      </c>
      <c r="L70" s="118">
        <v>60</v>
      </c>
      <c r="M70" s="118">
        <f>SUM(I70:L70)</f>
        <v>362.05</v>
      </c>
      <c r="N70" s="41">
        <f>I70</f>
        <v>226.2</v>
      </c>
      <c r="O70" s="117">
        <f>ROUND((E70-F70/0.7)*0.1*0.002,2)</f>
        <v>32.31</v>
      </c>
      <c r="P70" s="117">
        <f>ROUND((E70-F70/0.7)*0.2*0.002,2)</f>
        <v>64.63</v>
      </c>
      <c r="Q70" s="117">
        <f>N70-O70-P70</f>
        <v>129.26</v>
      </c>
    </row>
    <row r="71" s="4" customFormat="1" ht="18" customHeight="1" spans="1:17">
      <c r="A71" s="22">
        <v>441400</v>
      </c>
      <c r="B71" s="22" t="s">
        <v>99</v>
      </c>
      <c r="C71" s="107"/>
      <c r="D71" s="23" t="s">
        <v>100</v>
      </c>
      <c r="E71" s="108">
        <f t="shared" ref="E71:Q71" si="66">SUM(E72:E80)</f>
        <v>2468763</v>
      </c>
      <c r="F71" s="108">
        <f t="shared" si="66"/>
        <v>132217</v>
      </c>
      <c r="G71" s="108">
        <f t="shared" si="66"/>
        <v>1595917</v>
      </c>
      <c r="H71" s="108">
        <f t="shared" si="66"/>
        <v>143633</v>
      </c>
      <c r="I71" s="114">
        <f t="shared" si="66"/>
        <v>3191.84</v>
      </c>
      <c r="J71" s="107">
        <f t="shared" si="66"/>
        <v>1005.42</v>
      </c>
      <c r="K71" s="114">
        <f t="shared" si="66"/>
        <v>110.34</v>
      </c>
      <c r="L71" s="114">
        <f t="shared" si="66"/>
        <v>505</v>
      </c>
      <c r="M71" s="114">
        <f t="shared" si="66"/>
        <v>4812.6</v>
      </c>
      <c r="N71" s="114">
        <f t="shared" si="66"/>
        <v>3191.84</v>
      </c>
      <c r="O71" s="114">
        <f t="shared" si="66"/>
        <v>455.98</v>
      </c>
      <c r="P71" s="114">
        <f t="shared" si="66"/>
        <v>911.95</v>
      </c>
      <c r="Q71" s="114">
        <f t="shared" si="66"/>
        <v>1823.91</v>
      </c>
    </row>
    <row r="72" s="4" customFormat="1" ht="18" customHeight="1" spans="1:17">
      <c r="A72" s="22"/>
      <c r="B72" s="22"/>
      <c r="C72" s="120">
        <v>0.85</v>
      </c>
      <c r="D72" s="10" t="s">
        <v>58</v>
      </c>
      <c r="E72" s="108"/>
      <c r="F72" s="108"/>
      <c r="G72" s="108"/>
      <c r="H72" s="108"/>
      <c r="I72" s="115">
        <f>ROUND(G72*20/10000,2)</f>
        <v>0</v>
      </c>
      <c r="J72" s="107">
        <v>0</v>
      </c>
      <c r="K72" s="117">
        <f>ROUND(H72*0.4*10/10000,2)</f>
        <v>0</v>
      </c>
      <c r="L72" s="118">
        <v>25</v>
      </c>
      <c r="M72" s="118">
        <f>SUM(I72:L72)</f>
        <v>25</v>
      </c>
      <c r="N72" s="41">
        <f>I72</f>
        <v>0</v>
      </c>
      <c r="O72" s="117">
        <f>ROUND((E72-F72/0.7)*0.1*0.002,2)</f>
        <v>0</v>
      </c>
      <c r="P72" s="117">
        <f>ROUND((E72-F72/0.7)*0.2*0.002,2)</f>
        <v>0</v>
      </c>
      <c r="Q72" s="117">
        <f>N72-O72-P72</f>
        <v>0</v>
      </c>
    </row>
    <row r="73" s="4" customFormat="1" ht="18" customHeight="1" spans="1:17">
      <c r="A73" s="22"/>
      <c r="B73" s="22"/>
      <c r="C73" s="109" t="s">
        <v>161</v>
      </c>
      <c r="D73" s="45" t="s">
        <v>177</v>
      </c>
      <c r="E73" s="46">
        <v>290798</v>
      </c>
      <c r="F73" s="108"/>
      <c r="G73" s="110">
        <f t="shared" ref="G73:G80" si="67">ROUND(E73*0.7-F73,0)</f>
        <v>203559</v>
      </c>
      <c r="H73" s="110">
        <f t="shared" ref="H73:H80" si="68">ROUND(G73*0.09,0)</f>
        <v>18320</v>
      </c>
      <c r="I73" s="115">
        <f t="shared" ref="I73:I80" si="69">ROUND(G73*20/10000,2)</f>
        <v>407.12</v>
      </c>
      <c r="J73" s="116">
        <f t="shared" ref="J73:J80" si="70">ROUND(G73*0.5*0.6*21/10000,2)</f>
        <v>128.24</v>
      </c>
      <c r="K73" s="117">
        <f t="shared" ref="K73:K80" si="71">ROUND((H73+F73)*0.4*10/10000,2)</f>
        <v>7.33</v>
      </c>
      <c r="L73" s="118">
        <v>60</v>
      </c>
      <c r="M73" s="118">
        <f t="shared" ref="M73:M80" si="72">SUM(I73:L73)</f>
        <v>602.69</v>
      </c>
      <c r="N73" s="41">
        <f t="shared" ref="N73:N80" si="73">I73</f>
        <v>407.12</v>
      </c>
      <c r="O73" s="117">
        <f t="shared" ref="O73:O80" si="74">ROUND((E73-F73/0.7)*0.1*0.002,2)</f>
        <v>58.16</v>
      </c>
      <c r="P73" s="117">
        <f t="shared" ref="P73:P80" si="75">ROUND((E73-F73/0.7)*0.2*0.002,2)</f>
        <v>116.32</v>
      </c>
      <c r="Q73" s="117">
        <f t="shared" ref="Q73:Q80" si="76">N73-O73-P73</f>
        <v>232.64</v>
      </c>
    </row>
    <row r="74" s="4" customFormat="1" ht="18" customHeight="1" spans="1:17">
      <c r="A74" s="22"/>
      <c r="B74" s="22"/>
      <c r="C74" s="109" t="s">
        <v>161</v>
      </c>
      <c r="D74" s="45" t="s">
        <v>178</v>
      </c>
      <c r="E74" s="46">
        <v>370105</v>
      </c>
      <c r="F74" s="108"/>
      <c r="G74" s="110">
        <f t="shared" si="67"/>
        <v>259074</v>
      </c>
      <c r="H74" s="110">
        <f t="shared" si="68"/>
        <v>23317</v>
      </c>
      <c r="I74" s="115">
        <f t="shared" si="69"/>
        <v>518.15</v>
      </c>
      <c r="J74" s="116">
        <f t="shared" si="70"/>
        <v>163.22</v>
      </c>
      <c r="K74" s="117">
        <f t="shared" si="71"/>
        <v>9.33</v>
      </c>
      <c r="L74" s="118">
        <v>60</v>
      </c>
      <c r="M74" s="118">
        <f t="shared" si="72"/>
        <v>750.7</v>
      </c>
      <c r="N74" s="41">
        <f t="shared" si="73"/>
        <v>518.15</v>
      </c>
      <c r="O74" s="117">
        <f t="shared" si="74"/>
        <v>74.02</v>
      </c>
      <c r="P74" s="117">
        <f t="shared" si="75"/>
        <v>148.04</v>
      </c>
      <c r="Q74" s="117">
        <f t="shared" si="76"/>
        <v>296.09</v>
      </c>
    </row>
    <row r="75" s="1" customFormat="1" ht="18" customHeight="1" spans="1:17">
      <c r="A75" s="10">
        <v>441422</v>
      </c>
      <c r="B75" s="10" t="s">
        <v>99</v>
      </c>
      <c r="C75" s="120">
        <v>1</v>
      </c>
      <c r="D75" s="10" t="s">
        <v>101</v>
      </c>
      <c r="E75" s="46">
        <v>196859</v>
      </c>
      <c r="F75" s="46">
        <v>83282</v>
      </c>
      <c r="G75" s="110">
        <f t="shared" si="67"/>
        <v>54519</v>
      </c>
      <c r="H75" s="110">
        <f t="shared" si="68"/>
        <v>4907</v>
      </c>
      <c r="I75" s="115">
        <f t="shared" si="69"/>
        <v>109.04</v>
      </c>
      <c r="J75" s="116">
        <f t="shared" si="70"/>
        <v>34.35</v>
      </c>
      <c r="K75" s="117">
        <f t="shared" si="71"/>
        <v>35.28</v>
      </c>
      <c r="L75" s="118">
        <v>60</v>
      </c>
      <c r="M75" s="118">
        <f t="shared" si="72"/>
        <v>238.67</v>
      </c>
      <c r="N75" s="41">
        <f t="shared" si="73"/>
        <v>109.04</v>
      </c>
      <c r="O75" s="117">
        <f t="shared" si="74"/>
        <v>15.58</v>
      </c>
      <c r="P75" s="117">
        <f t="shared" si="75"/>
        <v>31.15</v>
      </c>
      <c r="Q75" s="117">
        <f t="shared" si="76"/>
        <v>62.31</v>
      </c>
    </row>
    <row r="76" s="1" customFormat="1" ht="18" customHeight="1" spans="1:17">
      <c r="A76" s="10">
        <v>441423</v>
      </c>
      <c r="B76" s="10" t="s">
        <v>99</v>
      </c>
      <c r="C76" s="120">
        <v>1</v>
      </c>
      <c r="D76" s="10" t="s">
        <v>102</v>
      </c>
      <c r="E76" s="46">
        <v>295089</v>
      </c>
      <c r="F76" s="46">
        <v>9868</v>
      </c>
      <c r="G76" s="110">
        <f t="shared" si="67"/>
        <v>196694</v>
      </c>
      <c r="H76" s="110">
        <f t="shared" si="68"/>
        <v>17702</v>
      </c>
      <c r="I76" s="115">
        <f t="shared" si="69"/>
        <v>393.39</v>
      </c>
      <c r="J76" s="116">
        <f t="shared" si="70"/>
        <v>123.92</v>
      </c>
      <c r="K76" s="117">
        <f t="shared" si="71"/>
        <v>11.03</v>
      </c>
      <c r="L76" s="118">
        <v>60</v>
      </c>
      <c r="M76" s="118">
        <f t="shared" si="72"/>
        <v>588.34</v>
      </c>
      <c r="N76" s="41">
        <f t="shared" si="73"/>
        <v>393.39</v>
      </c>
      <c r="O76" s="117">
        <f t="shared" si="74"/>
        <v>56.2</v>
      </c>
      <c r="P76" s="117">
        <f t="shared" si="75"/>
        <v>112.4</v>
      </c>
      <c r="Q76" s="117">
        <f t="shared" si="76"/>
        <v>224.79</v>
      </c>
    </row>
    <row r="77" s="1" customFormat="1" ht="18" customHeight="1" spans="1:17">
      <c r="A77" s="10">
        <v>441424</v>
      </c>
      <c r="B77" s="10" t="s">
        <v>99</v>
      </c>
      <c r="C77" s="120">
        <v>1</v>
      </c>
      <c r="D77" s="10" t="s">
        <v>103</v>
      </c>
      <c r="E77" s="46">
        <v>621220</v>
      </c>
      <c r="F77" s="46">
        <v>4403</v>
      </c>
      <c r="G77" s="110">
        <f t="shared" si="67"/>
        <v>430451</v>
      </c>
      <c r="H77" s="110">
        <f t="shared" si="68"/>
        <v>38741</v>
      </c>
      <c r="I77" s="115">
        <f t="shared" si="69"/>
        <v>860.9</v>
      </c>
      <c r="J77" s="116">
        <f t="shared" si="70"/>
        <v>271.18</v>
      </c>
      <c r="K77" s="117">
        <f t="shared" si="71"/>
        <v>17.26</v>
      </c>
      <c r="L77" s="118">
        <v>60</v>
      </c>
      <c r="M77" s="118">
        <f t="shared" si="72"/>
        <v>1209.34</v>
      </c>
      <c r="N77" s="41">
        <f t="shared" si="73"/>
        <v>860.9</v>
      </c>
      <c r="O77" s="117">
        <f t="shared" si="74"/>
        <v>122.99</v>
      </c>
      <c r="P77" s="117">
        <f t="shared" si="75"/>
        <v>245.97</v>
      </c>
      <c r="Q77" s="117">
        <f t="shared" si="76"/>
        <v>491.94</v>
      </c>
    </row>
    <row r="78" s="1" customFormat="1" ht="18" customHeight="1" spans="1:17">
      <c r="A78" s="10">
        <v>441426</v>
      </c>
      <c r="B78" s="10" t="s">
        <v>99</v>
      </c>
      <c r="C78" s="120">
        <v>1</v>
      </c>
      <c r="D78" s="10" t="s">
        <v>104</v>
      </c>
      <c r="E78" s="46">
        <v>95316</v>
      </c>
      <c r="F78" s="46">
        <v>4651</v>
      </c>
      <c r="G78" s="110">
        <f t="shared" si="67"/>
        <v>62070</v>
      </c>
      <c r="H78" s="110">
        <f t="shared" si="68"/>
        <v>5586</v>
      </c>
      <c r="I78" s="115">
        <f t="shared" si="69"/>
        <v>124.14</v>
      </c>
      <c r="J78" s="116">
        <f t="shared" si="70"/>
        <v>39.1</v>
      </c>
      <c r="K78" s="117">
        <f t="shared" si="71"/>
        <v>4.09</v>
      </c>
      <c r="L78" s="118">
        <v>60</v>
      </c>
      <c r="M78" s="118">
        <f t="shared" si="72"/>
        <v>227.33</v>
      </c>
      <c r="N78" s="41">
        <f t="shared" si="73"/>
        <v>124.14</v>
      </c>
      <c r="O78" s="117">
        <f t="shared" si="74"/>
        <v>17.73</v>
      </c>
      <c r="P78" s="117">
        <f t="shared" si="75"/>
        <v>35.47</v>
      </c>
      <c r="Q78" s="117">
        <f t="shared" si="76"/>
        <v>70.94</v>
      </c>
    </row>
    <row r="79" s="1" customFormat="1" ht="18" customHeight="1" spans="1:17">
      <c r="A79" s="10">
        <v>441427</v>
      </c>
      <c r="B79" s="10" t="s">
        <v>99</v>
      </c>
      <c r="C79" s="120">
        <v>1</v>
      </c>
      <c r="D79" s="10" t="s">
        <v>105</v>
      </c>
      <c r="E79" s="46">
        <v>114227</v>
      </c>
      <c r="F79" s="46">
        <v>6528</v>
      </c>
      <c r="G79" s="110">
        <f t="shared" si="67"/>
        <v>73431</v>
      </c>
      <c r="H79" s="110">
        <f t="shared" si="68"/>
        <v>6609</v>
      </c>
      <c r="I79" s="115">
        <f t="shared" si="69"/>
        <v>146.86</v>
      </c>
      <c r="J79" s="116">
        <f t="shared" si="70"/>
        <v>46.26</v>
      </c>
      <c r="K79" s="117">
        <f t="shared" si="71"/>
        <v>5.25</v>
      </c>
      <c r="L79" s="118">
        <v>60</v>
      </c>
      <c r="M79" s="118">
        <f t="shared" si="72"/>
        <v>258.37</v>
      </c>
      <c r="N79" s="41">
        <f t="shared" si="73"/>
        <v>146.86</v>
      </c>
      <c r="O79" s="117">
        <f t="shared" si="74"/>
        <v>20.98</v>
      </c>
      <c r="P79" s="117">
        <f t="shared" si="75"/>
        <v>41.96</v>
      </c>
      <c r="Q79" s="117">
        <f t="shared" si="76"/>
        <v>83.92</v>
      </c>
    </row>
    <row r="80" s="1" customFormat="1" ht="18" customHeight="1" spans="1:17">
      <c r="A80" s="10">
        <v>441481</v>
      </c>
      <c r="B80" s="10" t="s">
        <v>99</v>
      </c>
      <c r="C80" s="120">
        <v>1</v>
      </c>
      <c r="D80" s="10" t="s">
        <v>106</v>
      </c>
      <c r="E80" s="46">
        <v>485149</v>
      </c>
      <c r="F80" s="46">
        <v>23485</v>
      </c>
      <c r="G80" s="110">
        <f t="shared" si="67"/>
        <v>316119</v>
      </c>
      <c r="H80" s="110">
        <f t="shared" si="68"/>
        <v>28451</v>
      </c>
      <c r="I80" s="115">
        <f t="shared" si="69"/>
        <v>632.24</v>
      </c>
      <c r="J80" s="116">
        <f t="shared" si="70"/>
        <v>199.15</v>
      </c>
      <c r="K80" s="117">
        <f t="shared" si="71"/>
        <v>20.77</v>
      </c>
      <c r="L80" s="118">
        <v>60</v>
      </c>
      <c r="M80" s="118">
        <f t="shared" si="72"/>
        <v>912.16</v>
      </c>
      <c r="N80" s="41">
        <f t="shared" si="73"/>
        <v>632.24</v>
      </c>
      <c r="O80" s="117">
        <f t="shared" si="74"/>
        <v>90.32</v>
      </c>
      <c r="P80" s="117">
        <f t="shared" si="75"/>
        <v>180.64</v>
      </c>
      <c r="Q80" s="117">
        <f t="shared" si="76"/>
        <v>361.28</v>
      </c>
    </row>
    <row r="81" s="4" customFormat="1" ht="18" customHeight="1" spans="1:17">
      <c r="A81" s="22">
        <v>441500</v>
      </c>
      <c r="B81" s="22" t="s">
        <v>107</v>
      </c>
      <c r="C81" s="107"/>
      <c r="D81" s="23" t="s">
        <v>108</v>
      </c>
      <c r="E81" s="108">
        <f t="shared" ref="E81:Q81" si="77">SUM(E82:E86)</f>
        <v>1601649</v>
      </c>
      <c r="F81" s="108">
        <f t="shared" si="77"/>
        <v>14324</v>
      </c>
      <c r="G81" s="108">
        <f t="shared" si="77"/>
        <v>1106830</v>
      </c>
      <c r="H81" s="108">
        <f t="shared" si="77"/>
        <v>99615</v>
      </c>
      <c r="I81" s="114">
        <f t="shared" si="77"/>
        <v>2213.66</v>
      </c>
      <c r="J81" s="107">
        <f t="shared" si="77"/>
        <v>697.3</v>
      </c>
      <c r="K81" s="114">
        <f t="shared" si="77"/>
        <v>45.57</v>
      </c>
      <c r="L81" s="114">
        <f t="shared" si="77"/>
        <v>265</v>
      </c>
      <c r="M81" s="114">
        <f t="shared" si="77"/>
        <v>3221.53</v>
      </c>
      <c r="N81" s="114">
        <f t="shared" si="77"/>
        <v>2213.66</v>
      </c>
      <c r="O81" s="114">
        <f t="shared" si="77"/>
        <v>316.23</v>
      </c>
      <c r="P81" s="114">
        <f t="shared" si="77"/>
        <v>632.48</v>
      </c>
      <c r="Q81" s="114">
        <f t="shared" si="77"/>
        <v>1264.95</v>
      </c>
    </row>
    <row r="82" s="4" customFormat="1" ht="18" customHeight="1" spans="1:17">
      <c r="A82" s="22"/>
      <c r="B82" s="22"/>
      <c r="C82" s="120">
        <v>0.85</v>
      </c>
      <c r="D82" s="10" t="s">
        <v>58</v>
      </c>
      <c r="E82" s="108"/>
      <c r="F82" s="108"/>
      <c r="G82" s="108"/>
      <c r="H82" s="108"/>
      <c r="I82" s="115">
        <f>ROUND(G82*20/10000,2)</f>
        <v>0</v>
      </c>
      <c r="J82" s="107">
        <v>0</v>
      </c>
      <c r="K82" s="117">
        <f>ROUND(H82*0.4*10/10000,2)</f>
        <v>0</v>
      </c>
      <c r="L82" s="118">
        <v>25</v>
      </c>
      <c r="M82" s="118">
        <f>SUM(I82:L82)</f>
        <v>25</v>
      </c>
      <c r="N82" s="41">
        <f>I82</f>
        <v>0</v>
      </c>
      <c r="O82" s="117">
        <f>ROUND((E82-F82/0.7)*0.1*0.002,2)</f>
        <v>0</v>
      </c>
      <c r="P82" s="117">
        <f>ROUND((E82-F82/0.7)*0.2*0.002,2)</f>
        <v>0</v>
      </c>
      <c r="Q82" s="117">
        <f>N82-O82-P82</f>
        <v>0</v>
      </c>
    </row>
    <row r="83" s="4" customFormat="1" ht="18" customHeight="1" spans="1:17">
      <c r="A83" s="22"/>
      <c r="B83" s="22"/>
      <c r="C83" s="109" t="s">
        <v>161</v>
      </c>
      <c r="D83" s="45" t="s">
        <v>179</v>
      </c>
      <c r="E83" s="46">
        <v>300172</v>
      </c>
      <c r="F83" s="108"/>
      <c r="G83" s="110">
        <f>ROUND(E83*0.7-F83,0)</f>
        <v>210120</v>
      </c>
      <c r="H83" s="110">
        <f>ROUND(G83*0.09,0)</f>
        <v>18911</v>
      </c>
      <c r="I83" s="115">
        <f>ROUND(G83*20/10000,2)</f>
        <v>420.24</v>
      </c>
      <c r="J83" s="116">
        <f>ROUND(G83*0.5*0.6*21/10000,2)</f>
        <v>132.38</v>
      </c>
      <c r="K83" s="117">
        <f>ROUND((H83+F83)*0.4*10/10000,2)</f>
        <v>7.56</v>
      </c>
      <c r="L83" s="118">
        <v>60</v>
      </c>
      <c r="M83" s="118">
        <f>SUM(I83:L83)</f>
        <v>620.18</v>
      </c>
      <c r="N83" s="41">
        <f>I83</f>
        <v>420.24</v>
      </c>
      <c r="O83" s="117">
        <f>ROUND((E83-F83/0.7)*0.1*0.002,2)</f>
        <v>60.03</v>
      </c>
      <c r="P83" s="117">
        <f>ROUND((E83-F83/0.7)*0.2*0.002,2)</f>
        <v>120.07</v>
      </c>
      <c r="Q83" s="117">
        <f>N83-O83-P83</f>
        <v>240.14</v>
      </c>
    </row>
    <row r="84" s="1" customFormat="1" ht="18" customHeight="1" spans="1:17">
      <c r="A84" s="10">
        <v>441521</v>
      </c>
      <c r="B84" s="10" t="s">
        <v>107</v>
      </c>
      <c r="C84" s="120">
        <v>1</v>
      </c>
      <c r="D84" s="10" t="s">
        <v>109</v>
      </c>
      <c r="E84" s="46">
        <v>478182</v>
      </c>
      <c r="F84" s="46">
        <v>8214</v>
      </c>
      <c r="G84" s="110">
        <f>ROUND(E84*0.7-F84,0)</f>
        <v>326513</v>
      </c>
      <c r="H84" s="110">
        <f>ROUND(G84*0.09,0)</f>
        <v>29386</v>
      </c>
      <c r="I84" s="115">
        <f>ROUND(G84*20/10000,2)</f>
        <v>653.03</v>
      </c>
      <c r="J84" s="116">
        <f>ROUND(G84*0.5*0.6*21/10000,2)</f>
        <v>205.7</v>
      </c>
      <c r="K84" s="117">
        <f>ROUND((H84+F84)*0.4*10/10000,2)</f>
        <v>15.04</v>
      </c>
      <c r="L84" s="118">
        <v>60</v>
      </c>
      <c r="M84" s="118">
        <f>SUM(I84:L84)</f>
        <v>933.77</v>
      </c>
      <c r="N84" s="41">
        <f>I84</f>
        <v>653.03</v>
      </c>
      <c r="O84" s="117">
        <f>ROUND((E84-F84/0.7)*0.1*0.002,2)</f>
        <v>93.29</v>
      </c>
      <c r="P84" s="117">
        <f>ROUND((E84-F84/0.7)*0.2*0.002,2)</f>
        <v>186.58</v>
      </c>
      <c r="Q84" s="117">
        <f>N84-O84-P84</f>
        <v>373.16</v>
      </c>
    </row>
    <row r="85" s="1" customFormat="1" ht="18" customHeight="1" spans="1:17">
      <c r="A85" s="10">
        <v>441523</v>
      </c>
      <c r="B85" s="10" t="s">
        <v>107</v>
      </c>
      <c r="C85" s="120">
        <v>1</v>
      </c>
      <c r="D85" s="10" t="s">
        <v>110</v>
      </c>
      <c r="E85" s="46">
        <v>100597</v>
      </c>
      <c r="F85" s="46">
        <v>368</v>
      </c>
      <c r="G85" s="110">
        <f>ROUND(E85*0.7-F85,0)</f>
        <v>70050</v>
      </c>
      <c r="H85" s="110">
        <f>ROUND(G85*0.09,0)</f>
        <v>6305</v>
      </c>
      <c r="I85" s="115">
        <f>ROUND(G85*20/10000,2)</f>
        <v>140.1</v>
      </c>
      <c r="J85" s="116">
        <f>ROUND(G85*0.5*0.6*21/10000,2)</f>
        <v>44.13</v>
      </c>
      <c r="K85" s="117">
        <f>ROUND((H85+F85)*0.4*10/10000,2)</f>
        <v>2.67</v>
      </c>
      <c r="L85" s="118">
        <v>60</v>
      </c>
      <c r="M85" s="118">
        <f>SUM(I85:L85)</f>
        <v>246.9</v>
      </c>
      <c r="N85" s="41">
        <f>I85</f>
        <v>140.1</v>
      </c>
      <c r="O85" s="117">
        <f>ROUND((E85-F85/0.7)*0.1*0.002,2)</f>
        <v>20.01</v>
      </c>
      <c r="P85" s="117">
        <f>ROUND((E85-F85/0.7)*0.2*0.002,2)</f>
        <v>40.03</v>
      </c>
      <c r="Q85" s="117">
        <f>N85-O85-P85</f>
        <v>80.06</v>
      </c>
    </row>
    <row r="86" s="1" customFormat="1" ht="18" customHeight="1" spans="1:17">
      <c r="A86" s="10">
        <v>441581</v>
      </c>
      <c r="B86" s="10" t="s">
        <v>107</v>
      </c>
      <c r="C86" s="120">
        <v>1</v>
      </c>
      <c r="D86" s="10" t="s">
        <v>111</v>
      </c>
      <c r="E86" s="46">
        <v>722698</v>
      </c>
      <c r="F86" s="46">
        <v>5742</v>
      </c>
      <c r="G86" s="110">
        <f>ROUND(E86*0.7-F86,0)</f>
        <v>500147</v>
      </c>
      <c r="H86" s="110">
        <f>ROUND(G86*0.09,0)</f>
        <v>45013</v>
      </c>
      <c r="I86" s="115">
        <f>ROUND(G86*20/10000,2)</f>
        <v>1000.29</v>
      </c>
      <c r="J86" s="116">
        <f>ROUND(G86*0.5*0.6*21/10000,2)</f>
        <v>315.09</v>
      </c>
      <c r="K86" s="117">
        <f>ROUND((H86+F86)*0.4*10/10000,2)</f>
        <v>20.3</v>
      </c>
      <c r="L86" s="118">
        <v>60</v>
      </c>
      <c r="M86" s="118">
        <f>SUM(I86:L86)</f>
        <v>1395.68</v>
      </c>
      <c r="N86" s="41">
        <f>I86</f>
        <v>1000.29</v>
      </c>
      <c r="O86" s="117">
        <f>ROUND((E86-F86/0.7)*0.1*0.002,2)</f>
        <v>142.9</v>
      </c>
      <c r="P86" s="117">
        <f>ROUND((E86-F86/0.7)*0.2*0.002,2)</f>
        <v>285.8</v>
      </c>
      <c r="Q86" s="117">
        <f>N86-O86-P86</f>
        <v>571.59</v>
      </c>
    </row>
    <row r="87" s="4" customFormat="1" ht="18" customHeight="1" spans="1:17">
      <c r="A87" s="22">
        <v>441600</v>
      </c>
      <c r="B87" s="22" t="s">
        <v>112</v>
      </c>
      <c r="C87" s="107"/>
      <c r="D87" s="23" t="s">
        <v>113</v>
      </c>
      <c r="E87" s="108">
        <f t="shared" ref="E87:Q87" si="78">SUM(E88:E94)</f>
        <v>1735095</v>
      </c>
      <c r="F87" s="108">
        <f t="shared" si="78"/>
        <v>54887</v>
      </c>
      <c r="G87" s="108">
        <f t="shared" si="78"/>
        <v>1159678</v>
      </c>
      <c r="H87" s="108">
        <f t="shared" si="78"/>
        <v>104371</v>
      </c>
      <c r="I87" s="114">
        <f t="shared" si="78"/>
        <v>2319.35</v>
      </c>
      <c r="J87" s="107">
        <f t="shared" si="78"/>
        <v>730.61</v>
      </c>
      <c r="K87" s="114">
        <f t="shared" si="78"/>
        <v>63.72</v>
      </c>
      <c r="L87" s="114">
        <f t="shared" si="78"/>
        <v>385</v>
      </c>
      <c r="M87" s="114">
        <f t="shared" si="78"/>
        <v>3498.68</v>
      </c>
      <c r="N87" s="114">
        <f t="shared" si="78"/>
        <v>2319.35</v>
      </c>
      <c r="O87" s="114">
        <f t="shared" si="78"/>
        <v>331.34</v>
      </c>
      <c r="P87" s="114">
        <f t="shared" si="78"/>
        <v>662.68</v>
      </c>
      <c r="Q87" s="114">
        <f t="shared" si="78"/>
        <v>1325.33</v>
      </c>
    </row>
    <row r="88" s="4" customFormat="1" ht="18" customHeight="1" spans="1:17">
      <c r="A88" s="22"/>
      <c r="B88" s="22"/>
      <c r="C88" s="120">
        <v>0.85</v>
      </c>
      <c r="D88" s="10" t="s">
        <v>58</v>
      </c>
      <c r="E88" s="108"/>
      <c r="F88" s="108"/>
      <c r="G88" s="108"/>
      <c r="H88" s="108"/>
      <c r="I88" s="115">
        <f>ROUND(G88*20/10000,2)</f>
        <v>0</v>
      </c>
      <c r="J88" s="107">
        <v>0</v>
      </c>
      <c r="K88" s="117">
        <f>ROUND(H88*0.4*10/10000,2)</f>
        <v>0</v>
      </c>
      <c r="L88" s="118">
        <v>25</v>
      </c>
      <c r="M88" s="118">
        <f>SUM(I88:L88)</f>
        <v>25</v>
      </c>
      <c r="N88" s="41">
        <f>I88</f>
        <v>0</v>
      </c>
      <c r="O88" s="117">
        <f>ROUND((E88-F88/0.7)*0.1*0.002,2)</f>
        <v>0</v>
      </c>
      <c r="P88" s="117">
        <f>ROUND((E88-F88/0.7)*0.2*0.002,2)</f>
        <v>0</v>
      </c>
      <c r="Q88" s="117">
        <f>N88-O88-P88</f>
        <v>0</v>
      </c>
    </row>
    <row r="89" s="4" customFormat="1" ht="18" customHeight="1" spans="1:17">
      <c r="A89" s="22"/>
      <c r="B89" s="22"/>
      <c r="C89" s="109" t="s">
        <v>161</v>
      </c>
      <c r="D89" s="45" t="s">
        <v>180</v>
      </c>
      <c r="E89" s="46">
        <v>468130</v>
      </c>
      <c r="F89" s="108"/>
      <c r="G89" s="110">
        <f t="shared" ref="G89:G94" si="79">ROUND(E89*0.7-F89,0)</f>
        <v>327691</v>
      </c>
      <c r="H89" s="110">
        <f t="shared" ref="H89:H94" si="80">ROUND(G89*0.09,0)</f>
        <v>29492</v>
      </c>
      <c r="I89" s="115">
        <f t="shared" ref="I89:I94" si="81">ROUND(G89*20/10000,2)</f>
        <v>655.38</v>
      </c>
      <c r="J89" s="116">
        <f t="shared" ref="J89:J94" si="82">ROUND(G89*0.5*0.6*21/10000,2)</f>
        <v>206.45</v>
      </c>
      <c r="K89" s="117">
        <f t="shared" ref="K89:K94" si="83">ROUND((H89+F89)*0.4*10/10000,2)</f>
        <v>11.8</v>
      </c>
      <c r="L89" s="118">
        <v>60</v>
      </c>
      <c r="M89" s="118">
        <f t="shared" ref="M89:M94" si="84">SUM(I89:L89)</f>
        <v>933.63</v>
      </c>
      <c r="N89" s="41">
        <f t="shared" ref="N89:N94" si="85">I89</f>
        <v>655.38</v>
      </c>
      <c r="O89" s="117">
        <f t="shared" ref="O89:O94" si="86">ROUND((E89-F89/0.7)*0.1*0.002,2)</f>
        <v>93.63</v>
      </c>
      <c r="P89" s="117">
        <f t="shared" ref="P89:P94" si="87">ROUND((E89-F89/0.7)*0.2*0.002,2)</f>
        <v>187.25</v>
      </c>
      <c r="Q89" s="117">
        <f t="shared" ref="Q89:Q94" si="88">N89-O89-P89</f>
        <v>374.5</v>
      </c>
    </row>
    <row r="90" s="1" customFormat="1" ht="18" customHeight="1" spans="1:17">
      <c r="A90" s="10">
        <v>441621</v>
      </c>
      <c r="B90" s="10" t="s">
        <v>112</v>
      </c>
      <c r="C90" s="120">
        <v>1</v>
      </c>
      <c r="D90" s="10" t="s">
        <v>114</v>
      </c>
      <c r="E90" s="46">
        <v>318346</v>
      </c>
      <c r="F90" s="46">
        <v>17222</v>
      </c>
      <c r="G90" s="110">
        <f t="shared" si="79"/>
        <v>205620</v>
      </c>
      <c r="H90" s="110">
        <f t="shared" si="80"/>
        <v>18506</v>
      </c>
      <c r="I90" s="115">
        <f t="shared" si="81"/>
        <v>411.24</v>
      </c>
      <c r="J90" s="116">
        <f t="shared" si="82"/>
        <v>129.54</v>
      </c>
      <c r="K90" s="117">
        <f t="shared" si="83"/>
        <v>14.29</v>
      </c>
      <c r="L90" s="118">
        <v>60</v>
      </c>
      <c r="M90" s="118">
        <f t="shared" si="84"/>
        <v>615.07</v>
      </c>
      <c r="N90" s="41">
        <f t="shared" si="85"/>
        <v>411.24</v>
      </c>
      <c r="O90" s="117">
        <f t="shared" si="86"/>
        <v>58.75</v>
      </c>
      <c r="P90" s="117">
        <f t="shared" si="87"/>
        <v>117.5</v>
      </c>
      <c r="Q90" s="117">
        <f t="shared" si="88"/>
        <v>234.99</v>
      </c>
    </row>
    <row r="91" s="1" customFormat="1" ht="18" customHeight="1" spans="1:17">
      <c r="A91" s="10">
        <v>441622</v>
      </c>
      <c r="B91" s="10" t="s">
        <v>112</v>
      </c>
      <c r="C91" s="120">
        <v>1</v>
      </c>
      <c r="D91" s="10" t="s">
        <v>115</v>
      </c>
      <c r="E91" s="46">
        <v>349329</v>
      </c>
      <c r="F91" s="46">
        <v>22814</v>
      </c>
      <c r="G91" s="110">
        <f t="shared" si="79"/>
        <v>221716</v>
      </c>
      <c r="H91" s="110">
        <f t="shared" si="80"/>
        <v>19954</v>
      </c>
      <c r="I91" s="115">
        <f t="shared" si="81"/>
        <v>443.43</v>
      </c>
      <c r="J91" s="116">
        <f t="shared" si="82"/>
        <v>139.68</v>
      </c>
      <c r="K91" s="117">
        <f t="shared" si="83"/>
        <v>17.11</v>
      </c>
      <c r="L91" s="118">
        <v>60</v>
      </c>
      <c r="M91" s="118">
        <f t="shared" si="84"/>
        <v>660.22</v>
      </c>
      <c r="N91" s="41">
        <f t="shared" si="85"/>
        <v>443.43</v>
      </c>
      <c r="O91" s="117">
        <f t="shared" si="86"/>
        <v>63.35</v>
      </c>
      <c r="P91" s="117">
        <f t="shared" si="87"/>
        <v>126.7</v>
      </c>
      <c r="Q91" s="117">
        <f t="shared" si="88"/>
        <v>253.38</v>
      </c>
    </row>
    <row r="92" s="1" customFormat="1" ht="18" customHeight="1" spans="1:17">
      <c r="A92" s="10">
        <v>441623</v>
      </c>
      <c r="B92" s="10" t="s">
        <v>112</v>
      </c>
      <c r="C92" s="120">
        <v>1</v>
      </c>
      <c r="D92" s="10" t="s">
        <v>116</v>
      </c>
      <c r="E92" s="46">
        <v>176812</v>
      </c>
      <c r="F92" s="46">
        <v>6236</v>
      </c>
      <c r="G92" s="110">
        <f t="shared" si="79"/>
        <v>117532</v>
      </c>
      <c r="H92" s="110">
        <f t="shared" si="80"/>
        <v>10578</v>
      </c>
      <c r="I92" s="115">
        <f t="shared" si="81"/>
        <v>235.06</v>
      </c>
      <c r="J92" s="116">
        <f t="shared" si="82"/>
        <v>74.05</v>
      </c>
      <c r="K92" s="117">
        <f t="shared" si="83"/>
        <v>6.73</v>
      </c>
      <c r="L92" s="118">
        <v>60</v>
      </c>
      <c r="M92" s="118">
        <f t="shared" si="84"/>
        <v>375.84</v>
      </c>
      <c r="N92" s="41">
        <f t="shared" si="85"/>
        <v>235.06</v>
      </c>
      <c r="O92" s="117">
        <f t="shared" si="86"/>
        <v>33.58</v>
      </c>
      <c r="P92" s="117">
        <f t="shared" si="87"/>
        <v>67.16</v>
      </c>
      <c r="Q92" s="117">
        <f t="shared" si="88"/>
        <v>134.32</v>
      </c>
    </row>
    <row r="93" s="1" customFormat="1" ht="18" customHeight="1" spans="1:17">
      <c r="A93" s="10">
        <v>441624</v>
      </c>
      <c r="B93" s="10" t="s">
        <v>112</v>
      </c>
      <c r="C93" s="120">
        <v>1</v>
      </c>
      <c r="D93" s="10" t="s">
        <v>117</v>
      </c>
      <c r="E93" s="46">
        <v>207762</v>
      </c>
      <c r="F93" s="46">
        <v>2169</v>
      </c>
      <c r="G93" s="110">
        <f t="shared" si="79"/>
        <v>143264</v>
      </c>
      <c r="H93" s="110">
        <f t="shared" si="80"/>
        <v>12894</v>
      </c>
      <c r="I93" s="115">
        <f t="shared" si="81"/>
        <v>286.53</v>
      </c>
      <c r="J93" s="116">
        <f t="shared" si="82"/>
        <v>90.26</v>
      </c>
      <c r="K93" s="117">
        <f t="shared" si="83"/>
        <v>6.03</v>
      </c>
      <c r="L93" s="118">
        <v>60</v>
      </c>
      <c r="M93" s="118">
        <f t="shared" si="84"/>
        <v>442.82</v>
      </c>
      <c r="N93" s="41">
        <f t="shared" si="85"/>
        <v>286.53</v>
      </c>
      <c r="O93" s="117">
        <f t="shared" si="86"/>
        <v>40.93</v>
      </c>
      <c r="P93" s="117">
        <f t="shared" si="87"/>
        <v>81.87</v>
      </c>
      <c r="Q93" s="117">
        <f t="shared" si="88"/>
        <v>163.73</v>
      </c>
    </row>
    <row r="94" s="1" customFormat="1" ht="18" customHeight="1" spans="1:17">
      <c r="A94" s="10">
        <v>441625</v>
      </c>
      <c r="B94" s="10" t="s">
        <v>112</v>
      </c>
      <c r="C94" s="120">
        <v>0.85</v>
      </c>
      <c r="D94" s="10" t="s">
        <v>118</v>
      </c>
      <c r="E94" s="46">
        <v>214716</v>
      </c>
      <c r="F94" s="46">
        <v>6446</v>
      </c>
      <c r="G94" s="110">
        <f t="shared" si="79"/>
        <v>143855</v>
      </c>
      <c r="H94" s="110">
        <f t="shared" si="80"/>
        <v>12947</v>
      </c>
      <c r="I94" s="115">
        <f t="shared" si="81"/>
        <v>287.71</v>
      </c>
      <c r="J94" s="116">
        <f t="shared" si="82"/>
        <v>90.63</v>
      </c>
      <c r="K94" s="117">
        <f t="shared" si="83"/>
        <v>7.76</v>
      </c>
      <c r="L94" s="118">
        <v>60</v>
      </c>
      <c r="M94" s="118">
        <f t="shared" si="84"/>
        <v>446.1</v>
      </c>
      <c r="N94" s="41">
        <f t="shared" si="85"/>
        <v>287.71</v>
      </c>
      <c r="O94" s="117">
        <f t="shared" si="86"/>
        <v>41.1</v>
      </c>
      <c r="P94" s="117">
        <f t="shared" si="87"/>
        <v>82.2</v>
      </c>
      <c r="Q94" s="117">
        <f t="shared" si="88"/>
        <v>164.41</v>
      </c>
    </row>
    <row r="95" s="4" customFormat="1" ht="18" customHeight="1" spans="1:17">
      <c r="A95" s="22">
        <v>441700</v>
      </c>
      <c r="B95" s="22" t="s">
        <v>119</v>
      </c>
      <c r="C95" s="107"/>
      <c r="D95" s="23" t="s">
        <v>120</v>
      </c>
      <c r="E95" s="108">
        <f t="shared" ref="E95:Q95" si="89">SUM(E96:E100)</f>
        <v>1732946</v>
      </c>
      <c r="F95" s="108">
        <f t="shared" si="89"/>
        <v>44882</v>
      </c>
      <c r="G95" s="108">
        <f t="shared" si="89"/>
        <v>1168181</v>
      </c>
      <c r="H95" s="108">
        <f t="shared" si="89"/>
        <v>105136</v>
      </c>
      <c r="I95" s="114">
        <f t="shared" si="89"/>
        <v>2336.36</v>
      </c>
      <c r="J95" s="107">
        <f t="shared" si="89"/>
        <v>735.96</v>
      </c>
      <c r="K95" s="114">
        <f t="shared" si="89"/>
        <v>60.01</v>
      </c>
      <c r="L95" s="114">
        <f t="shared" si="89"/>
        <v>265</v>
      </c>
      <c r="M95" s="114">
        <f t="shared" si="89"/>
        <v>3397.33</v>
      </c>
      <c r="N95" s="114">
        <f t="shared" si="89"/>
        <v>2336.36</v>
      </c>
      <c r="O95" s="114">
        <f t="shared" si="89"/>
        <v>333.76</v>
      </c>
      <c r="P95" s="114">
        <f t="shared" si="89"/>
        <v>667.53</v>
      </c>
      <c r="Q95" s="114">
        <f t="shared" si="89"/>
        <v>1335.07</v>
      </c>
    </row>
    <row r="96" s="4" customFormat="1" ht="18" customHeight="1" spans="1:17">
      <c r="A96" s="22"/>
      <c r="B96" s="22"/>
      <c r="C96" s="120">
        <v>0.85</v>
      </c>
      <c r="D96" s="10" t="s">
        <v>58</v>
      </c>
      <c r="E96" s="108"/>
      <c r="F96" s="108"/>
      <c r="G96" s="108"/>
      <c r="H96" s="108"/>
      <c r="I96" s="115">
        <f>ROUND(G96*20/10000,2)</f>
        <v>0</v>
      </c>
      <c r="J96" s="107">
        <v>0</v>
      </c>
      <c r="K96" s="117">
        <f>ROUND(H96*0.4*10/10000,2)</f>
        <v>0</v>
      </c>
      <c r="L96" s="118">
        <v>25</v>
      </c>
      <c r="M96" s="118">
        <f>SUM(I96:L96)</f>
        <v>25</v>
      </c>
      <c r="N96" s="41">
        <f>I96</f>
        <v>0</v>
      </c>
      <c r="O96" s="117">
        <f>ROUND((E96-F96/0.7)*0.1*0.002,2)</f>
        <v>0</v>
      </c>
      <c r="P96" s="117">
        <f>ROUND((E96-F96/0.7)*0.2*0.002,2)</f>
        <v>0</v>
      </c>
      <c r="Q96" s="117">
        <f>N96-O96-P96</f>
        <v>0</v>
      </c>
    </row>
    <row r="97" s="4" customFormat="1" ht="18" customHeight="1" spans="1:17">
      <c r="A97" s="22"/>
      <c r="B97" s="22"/>
      <c r="C97" s="109" t="s">
        <v>161</v>
      </c>
      <c r="D97" s="45" t="s">
        <v>181</v>
      </c>
      <c r="E97" s="46">
        <v>553451</v>
      </c>
      <c r="F97" s="108"/>
      <c r="G97" s="110">
        <f>ROUND(E97*0.7-F97,0)</f>
        <v>387416</v>
      </c>
      <c r="H97" s="110">
        <f>ROUND(G97*0.09,0)</f>
        <v>34867</v>
      </c>
      <c r="I97" s="115">
        <f>ROUND(G97*20/10000,2)</f>
        <v>774.83</v>
      </c>
      <c r="J97" s="116">
        <f>ROUND(G97*0.5*0.6*21/10000,2)</f>
        <v>244.07</v>
      </c>
      <c r="K97" s="117">
        <f>ROUND((H97+F97)*0.4*10/10000,2)</f>
        <v>13.95</v>
      </c>
      <c r="L97" s="118">
        <v>60</v>
      </c>
      <c r="M97" s="118">
        <f>SUM(I97:L97)</f>
        <v>1092.85</v>
      </c>
      <c r="N97" s="41">
        <f>I97</f>
        <v>774.83</v>
      </c>
      <c r="O97" s="117">
        <f>ROUND((E97-F97/0.7)*0.1*0.002,2)</f>
        <v>110.69</v>
      </c>
      <c r="P97" s="117">
        <f>ROUND((E97-F97/0.7)*0.2*0.002,2)</f>
        <v>221.38</v>
      </c>
      <c r="Q97" s="117">
        <f>N97-O97-P97</f>
        <v>442.76</v>
      </c>
    </row>
    <row r="98" s="4" customFormat="1" ht="18" customHeight="1" spans="1:17">
      <c r="A98" s="22"/>
      <c r="B98" s="22"/>
      <c r="C98" s="109" t="s">
        <v>161</v>
      </c>
      <c r="D98" s="45" t="s">
        <v>182</v>
      </c>
      <c r="E98" s="46">
        <v>320108</v>
      </c>
      <c r="F98" s="108"/>
      <c r="G98" s="110">
        <f>ROUND(E98*0.7-F98,0)</f>
        <v>224076</v>
      </c>
      <c r="H98" s="110">
        <f>ROUND(G98*0.09,0)</f>
        <v>20167</v>
      </c>
      <c r="I98" s="115">
        <f>ROUND(G98*20/10000,2)</f>
        <v>448.15</v>
      </c>
      <c r="J98" s="116">
        <f>ROUND(G98*0.5*0.6*21/10000,2)</f>
        <v>141.17</v>
      </c>
      <c r="K98" s="117">
        <f>ROUND((H98+F98)*0.4*10/10000,2)</f>
        <v>8.07</v>
      </c>
      <c r="L98" s="118">
        <v>60</v>
      </c>
      <c r="M98" s="118">
        <f>SUM(I98:L98)</f>
        <v>657.39</v>
      </c>
      <c r="N98" s="41">
        <f>I98</f>
        <v>448.15</v>
      </c>
      <c r="O98" s="117">
        <f>ROUND((E98-F98/0.7)*0.1*0.002,2)</f>
        <v>64.02</v>
      </c>
      <c r="P98" s="117">
        <f>ROUND((E98-F98/0.7)*0.2*0.002,2)</f>
        <v>128.04</v>
      </c>
      <c r="Q98" s="117">
        <f>N98-O98-P98</f>
        <v>256.09</v>
      </c>
    </row>
    <row r="99" s="1" customFormat="1" ht="18" customHeight="1" spans="1:17">
      <c r="A99" s="10">
        <v>441721</v>
      </c>
      <c r="B99" s="10" t="s">
        <v>119</v>
      </c>
      <c r="C99" s="120">
        <v>0.85</v>
      </c>
      <c r="D99" s="10" t="s">
        <v>121</v>
      </c>
      <c r="E99" s="46">
        <v>298294</v>
      </c>
      <c r="F99" s="46">
        <v>10447</v>
      </c>
      <c r="G99" s="110">
        <f>ROUND(E99*0.7-F99,0)</f>
        <v>198359</v>
      </c>
      <c r="H99" s="110">
        <f>ROUND(G99*0.09,0)</f>
        <v>17852</v>
      </c>
      <c r="I99" s="115">
        <f>ROUND(G99*20/10000,2)</f>
        <v>396.72</v>
      </c>
      <c r="J99" s="116">
        <f>ROUND(G99*0.5*0.6*21/10000,2)</f>
        <v>124.97</v>
      </c>
      <c r="K99" s="117">
        <f>ROUND((H99+F99)*0.4*10/10000,2)</f>
        <v>11.32</v>
      </c>
      <c r="L99" s="118">
        <v>60</v>
      </c>
      <c r="M99" s="118">
        <f>SUM(I99:L99)</f>
        <v>593.01</v>
      </c>
      <c r="N99" s="41">
        <f>I99</f>
        <v>396.72</v>
      </c>
      <c r="O99" s="117">
        <f>ROUND((E99-F99/0.7)*0.1*0.002,2)</f>
        <v>56.67</v>
      </c>
      <c r="P99" s="117">
        <f>ROUND((E99-F99/0.7)*0.2*0.002,2)</f>
        <v>113.35</v>
      </c>
      <c r="Q99" s="117">
        <f>N99-O99-P99</f>
        <v>226.7</v>
      </c>
    </row>
    <row r="100" s="1" customFormat="1" ht="18" customHeight="1" spans="1:17">
      <c r="A100" s="10">
        <v>441781</v>
      </c>
      <c r="B100" s="10" t="s">
        <v>119</v>
      </c>
      <c r="C100" s="120">
        <v>0.85</v>
      </c>
      <c r="D100" s="10" t="s">
        <v>122</v>
      </c>
      <c r="E100" s="46">
        <v>561093</v>
      </c>
      <c r="F100" s="46">
        <v>34435</v>
      </c>
      <c r="G100" s="110">
        <f>ROUND(E100*0.7-F100,0)</f>
        <v>358330</v>
      </c>
      <c r="H100" s="110">
        <f>ROUND(G100*0.09,0)</f>
        <v>32250</v>
      </c>
      <c r="I100" s="115">
        <f>ROUND(G100*20/10000,2)</f>
        <v>716.66</v>
      </c>
      <c r="J100" s="116">
        <f>ROUND(G100*0.5*0.6*21/10000,2)</f>
        <v>225.75</v>
      </c>
      <c r="K100" s="117">
        <f>ROUND((H100+F100)*0.4*10/10000,2)</f>
        <v>26.67</v>
      </c>
      <c r="L100" s="118">
        <v>60</v>
      </c>
      <c r="M100" s="118">
        <f>SUM(I100:L100)</f>
        <v>1029.08</v>
      </c>
      <c r="N100" s="41">
        <f>I100</f>
        <v>716.66</v>
      </c>
      <c r="O100" s="117">
        <f>ROUND((E100-F100/0.7)*0.1*0.002,2)</f>
        <v>102.38</v>
      </c>
      <c r="P100" s="117">
        <f>ROUND((E100-F100/0.7)*0.2*0.002,2)</f>
        <v>204.76</v>
      </c>
      <c r="Q100" s="117">
        <f>N100-O100-P100</f>
        <v>409.52</v>
      </c>
    </row>
    <row r="101" s="4" customFormat="1" ht="18" customHeight="1" spans="1:17">
      <c r="A101" s="22"/>
      <c r="B101" s="22"/>
      <c r="C101" s="107"/>
      <c r="D101" s="23" t="s">
        <v>123</v>
      </c>
      <c r="E101" s="108">
        <f t="shared" ref="E101:Q101" si="90">SUM(E102:E110)</f>
        <v>2407569</v>
      </c>
      <c r="F101" s="108">
        <f t="shared" si="90"/>
        <v>91745</v>
      </c>
      <c r="G101" s="108">
        <f t="shared" si="90"/>
        <v>1593554</v>
      </c>
      <c r="H101" s="108">
        <f t="shared" si="90"/>
        <v>143421</v>
      </c>
      <c r="I101" s="114">
        <f t="shared" si="90"/>
        <v>3187.11</v>
      </c>
      <c r="J101" s="107">
        <f t="shared" si="90"/>
        <v>1003.93</v>
      </c>
      <c r="K101" s="114">
        <f t="shared" si="90"/>
        <v>94.06</v>
      </c>
      <c r="L101" s="114">
        <f t="shared" si="90"/>
        <v>505</v>
      </c>
      <c r="M101" s="114">
        <f t="shared" si="90"/>
        <v>4790.1</v>
      </c>
      <c r="N101" s="114">
        <f t="shared" si="90"/>
        <v>3187.11</v>
      </c>
      <c r="O101" s="114">
        <f t="shared" si="90"/>
        <v>455.3</v>
      </c>
      <c r="P101" s="114">
        <f t="shared" si="90"/>
        <v>910.59</v>
      </c>
      <c r="Q101" s="114">
        <f t="shared" si="90"/>
        <v>1821.22</v>
      </c>
    </row>
    <row r="102" s="4" customFormat="1" ht="18" customHeight="1" spans="1:17">
      <c r="A102" s="22"/>
      <c r="B102" s="22"/>
      <c r="C102" s="120">
        <v>0.85</v>
      </c>
      <c r="D102" s="10" t="s">
        <v>58</v>
      </c>
      <c r="E102" s="108"/>
      <c r="F102" s="108"/>
      <c r="G102" s="108"/>
      <c r="H102" s="108"/>
      <c r="I102" s="115">
        <f>ROUND(G102*20/10000,2)</f>
        <v>0</v>
      </c>
      <c r="J102" s="107">
        <v>0</v>
      </c>
      <c r="K102" s="117">
        <f>ROUND(H102*0.4*10/10000,2)</f>
        <v>0</v>
      </c>
      <c r="L102" s="118">
        <v>25</v>
      </c>
      <c r="M102" s="118">
        <f>SUM(I102:L102)</f>
        <v>25</v>
      </c>
      <c r="N102" s="41">
        <f>I102</f>
        <v>0</v>
      </c>
      <c r="O102" s="117">
        <f>ROUND((E102-F102/0.7)*0.1*0.002,2)</f>
        <v>0</v>
      </c>
      <c r="P102" s="117">
        <f>ROUND((E102-F102/0.7)*0.2*0.002,2)</f>
        <v>0</v>
      </c>
      <c r="Q102" s="117">
        <f>N102-O102-P102</f>
        <v>0</v>
      </c>
    </row>
    <row r="103" s="4" customFormat="1" ht="18" customHeight="1" spans="1:17">
      <c r="A103" s="22"/>
      <c r="B103" s="22"/>
      <c r="C103" s="109" t="s">
        <v>161</v>
      </c>
      <c r="D103" s="49" t="s">
        <v>183</v>
      </c>
      <c r="E103" s="46">
        <v>744522</v>
      </c>
      <c r="F103" s="108"/>
      <c r="G103" s="110">
        <f t="shared" ref="G103:G110" si="91">ROUND(E103*0.7-F103,0)</f>
        <v>521165</v>
      </c>
      <c r="H103" s="110">
        <f t="shared" ref="H103:H110" si="92">ROUND(G103*0.09,0)</f>
        <v>46905</v>
      </c>
      <c r="I103" s="115">
        <f t="shared" ref="I103:I110" si="93">ROUND(G103*20/10000,2)</f>
        <v>1042.33</v>
      </c>
      <c r="J103" s="116">
        <f t="shared" ref="J103:J110" si="94">ROUND(G103*0.5*0.6*21/10000,2)</f>
        <v>328.33</v>
      </c>
      <c r="K103" s="117">
        <f t="shared" ref="K103:K110" si="95">ROUND((H103+F103)*0.4*10/10000,2)</f>
        <v>18.76</v>
      </c>
      <c r="L103" s="118">
        <v>60</v>
      </c>
      <c r="M103" s="118">
        <f t="shared" ref="M103:M110" si="96">SUM(I103:L103)</f>
        <v>1449.42</v>
      </c>
      <c r="N103" s="41">
        <f t="shared" ref="N103:N110" si="97">I103</f>
        <v>1042.33</v>
      </c>
      <c r="O103" s="117">
        <f t="shared" ref="O103:O110" si="98">ROUND((E103-F103/0.7)*0.1*0.002,2)</f>
        <v>148.9</v>
      </c>
      <c r="P103" s="117">
        <f t="shared" ref="P103:P110" si="99">ROUND((E103-F103/0.7)*0.2*0.002,2)</f>
        <v>297.81</v>
      </c>
      <c r="Q103" s="117">
        <f t="shared" ref="Q103:Q110" si="100">N103-O103-P103</f>
        <v>595.62</v>
      </c>
    </row>
    <row r="104" s="4" customFormat="1" ht="18" customHeight="1" spans="1:17">
      <c r="A104" s="22"/>
      <c r="B104" s="22"/>
      <c r="C104" s="109" t="s">
        <v>161</v>
      </c>
      <c r="D104" s="45" t="s">
        <v>184</v>
      </c>
      <c r="E104" s="46">
        <v>400500</v>
      </c>
      <c r="F104" s="108"/>
      <c r="G104" s="110">
        <f t="shared" si="91"/>
        <v>280350</v>
      </c>
      <c r="H104" s="110">
        <f t="shared" si="92"/>
        <v>25232</v>
      </c>
      <c r="I104" s="115">
        <f t="shared" si="93"/>
        <v>560.7</v>
      </c>
      <c r="J104" s="116">
        <f t="shared" si="94"/>
        <v>176.62</v>
      </c>
      <c r="K104" s="117">
        <f t="shared" si="95"/>
        <v>10.09</v>
      </c>
      <c r="L104" s="118">
        <v>60</v>
      </c>
      <c r="M104" s="118">
        <f t="shared" si="96"/>
        <v>807.41</v>
      </c>
      <c r="N104" s="41">
        <f t="shared" si="97"/>
        <v>560.7</v>
      </c>
      <c r="O104" s="117">
        <f t="shared" si="98"/>
        <v>80.1</v>
      </c>
      <c r="P104" s="117">
        <f t="shared" si="99"/>
        <v>160.2</v>
      </c>
      <c r="Q104" s="117">
        <f t="shared" si="100"/>
        <v>320.4</v>
      </c>
    </row>
    <row r="105" s="1" customFormat="1" ht="18" customHeight="1" spans="1:17">
      <c r="A105" s="10">
        <v>441821</v>
      </c>
      <c r="B105" s="10" t="s">
        <v>124</v>
      </c>
      <c r="C105" s="120">
        <v>0.85</v>
      </c>
      <c r="D105" s="10" t="s">
        <v>125</v>
      </c>
      <c r="E105" s="46">
        <v>205323</v>
      </c>
      <c r="F105" s="46">
        <v>9832</v>
      </c>
      <c r="G105" s="110">
        <f t="shared" si="91"/>
        <v>133894</v>
      </c>
      <c r="H105" s="110">
        <f t="shared" si="92"/>
        <v>12050</v>
      </c>
      <c r="I105" s="115">
        <f t="shared" si="93"/>
        <v>267.79</v>
      </c>
      <c r="J105" s="116">
        <f t="shared" si="94"/>
        <v>84.35</v>
      </c>
      <c r="K105" s="117">
        <f t="shared" si="95"/>
        <v>8.75</v>
      </c>
      <c r="L105" s="118">
        <v>60</v>
      </c>
      <c r="M105" s="118">
        <f t="shared" si="96"/>
        <v>420.89</v>
      </c>
      <c r="N105" s="41">
        <f t="shared" si="97"/>
        <v>267.79</v>
      </c>
      <c r="O105" s="117">
        <f t="shared" si="98"/>
        <v>38.26</v>
      </c>
      <c r="P105" s="117">
        <f t="shared" si="99"/>
        <v>76.51</v>
      </c>
      <c r="Q105" s="117">
        <f t="shared" si="100"/>
        <v>153.02</v>
      </c>
    </row>
    <row r="106" s="1" customFormat="1" ht="18" customHeight="1" spans="1:17">
      <c r="A106" s="10">
        <v>441823</v>
      </c>
      <c r="B106" s="10" t="s">
        <v>124</v>
      </c>
      <c r="C106" s="120">
        <v>0.85</v>
      </c>
      <c r="D106" s="10" t="s">
        <v>126</v>
      </c>
      <c r="E106" s="46">
        <v>226254</v>
      </c>
      <c r="F106" s="46">
        <v>12905</v>
      </c>
      <c r="G106" s="110">
        <f t="shared" si="91"/>
        <v>145473</v>
      </c>
      <c r="H106" s="110">
        <f t="shared" si="92"/>
        <v>13093</v>
      </c>
      <c r="I106" s="115">
        <f t="shared" si="93"/>
        <v>290.95</v>
      </c>
      <c r="J106" s="116">
        <f t="shared" si="94"/>
        <v>91.65</v>
      </c>
      <c r="K106" s="117">
        <f t="shared" si="95"/>
        <v>10.4</v>
      </c>
      <c r="L106" s="118">
        <v>60</v>
      </c>
      <c r="M106" s="118">
        <f t="shared" si="96"/>
        <v>453</v>
      </c>
      <c r="N106" s="41">
        <f t="shared" si="97"/>
        <v>290.95</v>
      </c>
      <c r="O106" s="117">
        <f t="shared" si="98"/>
        <v>41.56</v>
      </c>
      <c r="P106" s="117">
        <f t="shared" si="99"/>
        <v>83.13</v>
      </c>
      <c r="Q106" s="117">
        <f t="shared" si="100"/>
        <v>166.26</v>
      </c>
    </row>
    <row r="107" s="1" customFormat="1" ht="18" customHeight="1" spans="1:17">
      <c r="A107" s="10">
        <v>441825</v>
      </c>
      <c r="B107" s="10" t="s">
        <v>124</v>
      </c>
      <c r="C107" s="120">
        <v>1</v>
      </c>
      <c r="D107" s="10" t="s">
        <v>127</v>
      </c>
      <c r="E107" s="46">
        <v>52535</v>
      </c>
      <c r="F107" s="46">
        <v>931</v>
      </c>
      <c r="G107" s="110">
        <f t="shared" si="91"/>
        <v>35844</v>
      </c>
      <c r="H107" s="110">
        <f t="shared" si="92"/>
        <v>3226</v>
      </c>
      <c r="I107" s="115">
        <f t="shared" si="93"/>
        <v>71.69</v>
      </c>
      <c r="J107" s="116">
        <f t="shared" si="94"/>
        <v>22.58</v>
      </c>
      <c r="K107" s="117">
        <f t="shared" si="95"/>
        <v>1.66</v>
      </c>
      <c r="L107" s="118">
        <v>60</v>
      </c>
      <c r="M107" s="118">
        <f t="shared" si="96"/>
        <v>155.93</v>
      </c>
      <c r="N107" s="41">
        <f t="shared" si="97"/>
        <v>71.69</v>
      </c>
      <c r="O107" s="117">
        <f t="shared" si="98"/>
        <v>10.24</v>
      </c>
      <c r="P107" s="117">
        <f t="shared" si="99"/>
        <v>20.48</v>
      </c>
      <c r="Q107" s="117">
        <f t="shared" si="100"/>
        <v>40.97</v>
      </c>
    </row>
    <row r="108" s="1" customFormat="1" ht="18" customHeight="1" spans="1:17">
      <c r="A108" s="10">
        <v>441826</v>
      </c>
      <c r="B108" s="10" t="s">
        <v>124</v>
      </c>
      <c r="C108" s="120">
        <v>1</v>
      </c>
      <c r="D108" s="10" t="s">
        <v>128</v>
      </c>
      <c r="E108" s="46">
        <v>66948</v>
      </c>
      <c r="F108" s="46">
        <v>6274</v>
      </c>
      <c r="G108" s="110">
        <f t="shared" si="91"/>
        <v>40590</v>
      </c>
      <c r="H108" s="110">
        <f t="shared" si="92"/>
        <v>3653</v>
      </c>
      <c r="I108" s="115">
        <f t="shared" si="93"/>
        <v>81.18</v>
      </c>
      <c r="J108" s="116">
        <f t="shared" si="94"/>
        <v>25.57</v>
      </c>
      <c r="K108" s="117">
        <f t="shared" si="95"/>
        <v>3.97</v>
      </c>
      <c r="L108" s="118">
        <v>60</v>
      </c>
      <c r="M108" s="118">
        <f t="shared" si="96"/>
        <v>170.72</v>
      </c>
      <c r="N108" s="41">
        <f t="shared" si="97"/>
        <v>81.18</v>
      </c>
      <c r="O108" s="117">
        <f t="shared" si="98"/>
        <v>11.6</v>
      </c>
      <c r="P108" s="117">
        <f t="shared" si="99"/>
        <v>23.19</v>
      </c>
      <c r="Q108" s="117">
        <f t="shared" si="100"/>
        <v>46.39</v>
      </c>
    </row>
    <row r="109" s="1" customFormat="1" ht="18" customHeight="1" spans="1:17">
      <c r="A109" s="10">
        <v>441881</v>
      </c>
      <c r="B109" s="10" t="s">
        <v>124</v>
      </c>
      <c r="C109" s="120">
        <v>0.85</v>
      </c>
      <c r="D109" s="10" t="s">
        <v>129</v>
      </c>
      <c r="E109" s="46">
        <v>481427</v>
      </c>
      <c r="F109" s="46">
        <v>33857</v>
      </c>
      <c r="G109" s="110">
        <f t="shared" si="91"/>
        <v>303142</v>
      </c>
      <c r="H109" s="110">
        <f t="shared" si="92"/>
        <v>27283</v>
      </c>
      <c r="I109" s="115">
        <f t="shared" si="93"/>
        <v>606.28</v>
      </c>
      <c r="J109" s="116">
        <f t="shared" si="94"/>
        <v>190.98</v>
      </c>
      <c r="K109" s="117">
        <f t="shared" si="95"/>
        <v>24.46</v>
      </c>
      <c r="L109" s="118">
        <v>60</v>
      </c>
      <c r="M109" s="118">
        <f t="shared" si="96"/>
        <v>881.72</v>
      </c>
      <c r="N109" s="41">
        <f t="shared" si="97"/>
        <v>606.28</v>
      </c>
      <c r="O109" s="117">
        <f t="shared" si="98"/>
        <v>86.61</v>
      </c>
      <c r="P109" s="117">
        <f t="shared" si="99"/>
        <v>173.22</v>
      </c>
      <c r="Q109" s="117">
        <f t="shared" si="100"/>
        <v>346.45</v>
      </c>
    </row>
    <row r="110" s="1" customFormat="1" ht="18" customHeight="1" spans="1:17">
      <c r="A110" s="10">
        <v>441882</v>
      </c>
      <c r="B110" s="10" t="s">
        <v>124</v>
      </c>
      <c r="C110" s="120">
        <v>0.85</v>
      </c>
      <c r="D110" s="10" t="s">
        <v>130</v>
      </c>
      <c r="E110" s="46">
        <v>230060</v>
      </c>
      <c r="F110" s="46">
        <v>27946</v>
      </c>
      <c r="G110" s="110">
        <f t="shared" si="91"/>
        <v>133096</v>
      </c>
      <c r="H110" s="110">
        <f t="shared" si="92"/>
        <v>11979</v>
      </c>
      <c r="I110" s="115">
        <f t="shared" si="93"/>
        <v>266.19</v>
      </c>
      <c r="J110" s="116">
        <f t="shared" si="94"/>
        <v>83.85</v>
      </c>
      <c r="K110" s="117">
        <f t="shared" si="95"/>
        <v>15.97</v>
      </c>
      <c r="L110" s="118">
        <v>60</v>
      </c>
      <c r="M110" s="118">
        <f t="shared" si="96"/>
        <v>426.01</v>
      </c>
      <c r="N110" s="41">
        <f t="shared" si="97"/>
        <v>266.19</v>
      </c>
      <c r="O110" s="117">
        <f t="shared" si="98"/>
        <v>38.03</v>
      </c>
      <c r="P110" s="117">
        <f t="shared" si="99"/>
        <v>76.05</v>
      </c>
      <c r="Q110" s="117">
        <f t="shared" si="100"/>
        <v>152.11</v>
      </c>
    </row>
    <row r="111" s="4" customFormat="1" ht="18" customHeight="1" spans="1:17">
      <c r="A111" s="22">
        <v>445100</v>
      </c>
      <c r="B111" s="22" t="s">
        <v>131</v>
      </c>
      <c r="C111" s="107"/>
      <c r="D111" s="23" t="s">
        <v>132</v>
      </c>
      <c r="E111" s="108">
        <f t="shared" ref="E111:Q111" si="101">SUM(E112:E115)</f>
        <v>1793932</v>
      </c>
      <c r="F111" s="108">
        <f t="shared" si="101"/>
        <v>4652</v>
      </c>
      <c r="G111" s="108">
        <f t="shared" si="101"/>
        <v>1251101</v>
      </c>
      <c r="H111" s="108">
        <f t="shared" si="101"/>
        <v>112599</v>
      </c>
      <c r="I111" s="114">
        <f t="shared" si="101"/>
        <v>2502.19</v>
      </c>
      <c r="J111" s="107">
        <f t="shared" si="101"/>
        <v>788.19</v>
      </c>
      <c r="K111" s="114">
        <f t="shared" si="101"/>
        <v>46.9</v>
      </c>
      <c r="L111" s="114">
        <f t="shared" si="101"/>
        <v>205</v>
      </c>
      <c r="M111" s="114">
        <f t="shared" si="101"/>
        <v>3542.28</v>
      </c>
      <c r="N111" s="114">
        <f t="shared" si="101"/>
        <v>2502.19</v>
      </c>
      <c r="O111" s="114">
        <f t="shared" si="101"/>
        <v>357.46</v>
      </c>
      <c r="P111" s="114">
        <f t="shared" si="101"/>
        <v>714.92</v>
      </c>
      <c r="Q111" s="114">
        <f t="shared" si="101"/>
        <v>1429.81</v>
      </c>
    </row>
    <row r="112" s="4" customFormat="1" ht="18" customHeight="1" spans="1:17">
      <c r="A112" s="22"/>
      <c r="B112" s="22"/>
      <c r="C112" s="120">
        <v>0.85</v>
      </c>
      <c r="D112" s="10" t="s">
        <v>58</v>
      </c>
      <c r="E112" s="108"/>
      <c r="F112" s="108"/>
      <c r="G112" s="108"/>
      <c r="H112" s="108"/>
      <c r="I112" s="115">
        <f>ROUND(G112*20/10000,2)</f>
        <v>0</v>
      </c>
      <c r="J112" s="107">
        <v>0</v>
      </c>
      <c r="K112" s="117">
        <f>ROUND(H112*0.4*10/10000,2)</f>
        <v>0</v>
      </c>
      <c r="L112" s="118">
        <v>25</v>
      </c>
      <c r="M112" s="118">
        <f>SUM(I112:L112)</f>
        <v>25</v>
      </c>
      <c r="N112" s="41">
        <f>I112</f>
        <v>0</v>
      </c>
      <c r="O112" s="41">
        <v>0</v>
      </c>
      <c r="P112" s="41">
        <v>0</v>
      </c>
      <c r="Q112" s="41">
        <v>0</v>
      </c>
    </row>
    <row r="113" s="4" customFormat="1" ht="18" customHeight="1" spans="1:17">
      <c r="A113" s="22"/>
      <c r="B113" s="22"/>
      <c r="C113" s="109" t="s">
        <v>161</v>
      </c>
      <c r="D113" s="45" t="s">
        <v>185</v>
      </c>
      <c r="E113" s="46">
        <v>401060</v>
      </c>
      <c r="F113" s="108"/>
      <c r="G113" s="110">
        <f>ROUND(E113*0.7-F113,0)</f>
        <v>280742</v>
      </c>
      <c r="H113" s="110">
        <f>ROUND(G113*0.09,0)</f>
        <v>25267</v>
      </c>
      <c r="I113" s="115">
        <f>ROUND(G113*20/10000,2)</f>
        <v>561.48</v>
      </c>
      <c r="J113" s="116">
        <f>ROUND(G113*0.5*0.6*21/10000,2)</f>
        <v>176.87</v>
      </c>
      <c r="K113" s="117">
        <f>ROUND((H113+F113)*0.4*10/10000,2)</f>
        <v>10.11</v>
      </c>
      <c r="L113" s="118">
        <v>60</v>
      </c>
      <c r="M113" s="118">
        <f>SUM(I113:L113)</f>
        <v>808.46</v>
      </c>
      <c r="N113" s="41">
        <f>I113</f>
        <v>561.48</v>
      </c>
      <c r="O113" s="117">
        <f>ROUND((E113-F113/0.7)*0.1*0.002,2)</f>
        <v>80.21</v>
      </c>
      <c r="P113" s="117">
        <f>ROUND((E113-F113/0.7)*0.2*0.002,2)</f>
        <v>160.42</v>
      </c>
      <c r="Q113" s="117">
        <f>N113-O113-P113</f>
        <v>320.85</v>
      </c>
    </row>
    <row r="114" s="4" customFormat="1" ht="18" customHeight="1" spans="1:17">
      <c r="A114" s="22"/>
      <c r="B114" s="22"/>
      <c r="C114" s="109" t="s">
        <v>161</v>
      </c>
      <c r="D114" s="45" t="s">
        <v>186</v>
      </c>
      <c r="E114" s="46">
        <v>815538</v>
      </c>
      <c r="F114" s="108"/>
      <c r="G114" s="110">
        <f>ROUND(E114*0.7-F114,0)</f>
        <v>570877</v>
      </c>
      <c r="H114" s="110">
        <f>ROUND(G114*0.09,0)</f>
        <v>51379</v>
      </c>
      <c r="I114" s="115">
        <f>ROUND(G114*20/10000,2)</f>
        <v>1141.75</v>
      </c>
      <c r="J114" s="116">
        <f>ROUND(G114*0.5*0.6*21/10000,2)</f>
        <v>359.65</v>
      </c>
      <c r="K114" s="117">
        <f>ROUND((H114+F114)*0.4*10/10000,2)</f>
        <v>20.55</v>
      </c>
      <c r="L114" s="118">
        <v>60</v>
      </c>
      <c r="M114" s="118">
        <f>SUM(I114:L114)</f>
        <v>1581.95</v>
      </c>
      <c r="N114" s="41">
        <f>I114</f>
        <v>1141.75</v>
      </c>
      <c r="O114" s="117">
        <f>ROUND((E114-F114/0.7)*0.1*0.002,2)</f>
        <v>163.11</v>
      </c>
      <c r="P114" s="117">
        <f>ROUND((E114-F114/0.7)*0.2*0.002,2)</f>
        <v>326.22</v>
      </c>
      <c r="Q114" s="117">
        <f>N114-O114-P114</f>
        <v>652.42</v>
      </c>
    </row>
    <row r="115" s="1" customFormat="1" ht="18" customHeight="1" spans="1:17">
      <c r="A115" s="10">
        <v>445122</v>
      </c>
      <c r="B115" s="10" t="s">
        <v>131</v>
      </c>
      <c r="C115" s="120">
        <v>1</v>
      </c>
      <c r="D115" s="10" t="s">
        <v>133</v>
      </c>
      <c r="E115" s="46">
        <v>577334</v>
      </c>
      <c r="F115" s="46">
        <v>4652</v>
      </c>
      <c r="G115" s="110">
        <f>ROUND(E115*0.7-F115,0)</f>
        <v>399482</v>
      </c>
      <c r="H115" s="110">
        <f>ROUND(G115*0.09,0)</f>
        <v>35953</v>
      </c>
      <c r="I115" s="115">
        <f>ROUND(G115*20/10000,2)</f>
        <v>798.96</v>
      </c>
      <c r="J115" s="116">
        <f>ROUND(G115*0.5*0.6*21/10000,2)</f>
        <v>251.67</v>
      </c>
      <c r="K115" s="117">
        <f>ROUND((H115+F115)*0.4*10/10000,2)</f>
        <v>16.24</v>
      </c>
      <c r="L115" s="118">
        <v>60</v>
      </c>
      <c r="M115" s="118">
        <f>SUM(I115:L115)</f>
        <v>1126.87</v>
      </c>
      <c r="N115" s="41">
        <f>I115</f>
        <v>798.96</v>
      </c>
      <c r="O115" s="117">
        <f>ROUND((E115-F115/0.7)*0.1*0.002,2)</f>
        <v>114.14</v>
      </c>
      <c r="P115" s="117">
        <f>ROUND((E115-F115/0.7)*0.2*0.002,2)</f>
        <v>228.28</v>
      </c>
      <c r="Q115" s="117">
        <f>N115-O115-P115</f>
        <v>456.54</v>
      </c>
    </row>
    <row r="116" s="4" customFormat="1" ht="18" customHeight="1" spans="1:17">
      <c r="A116" s="22">
        <v>445200</v>
      </c>
      <c r="B116" s="22" t="s">
        <v>134</v>
      </c>
      <c r="C116" s="107"/>
      <c r="D116" s="23" t="s">
        <v>135</v>
      </c>
      <c r="E116" s="108">
        <f t="shared" ref="E116:Q116" si="102">SUM(E117:E122)</f>
        <v>3173971</v>
      </c>
      <c r="F116" s="108">
        <f t="shared" si="102"/>
        <v>13897</v>
      </c>
      <c r="G116" s="108">
        <f t="shared" si="102"/>
        <v>2207884</v>
      </c>
      <c r="H116" s="108">
        <f t="shared" si="102"/>
        <v>198710</v>
      </c>
      <c r="I116" s="114">
        <f t="shared" si="102"/>
        <v>4415.78</v>
      </c>
      <c r="J116" s="107">
        <f t="shared" si="102"/>
        <v>1390.97</v>
      </c>
      <c r="K116" s="114">
        <f t="shared" si="102"/>
        <v>85.04</v>
      </c>
      <c r="L116" s="114">
        <f t="shared" si="102"/>
        <v>325</v>
      </c>
      <c r="M116" s="114">
        <f t="shared" si="102"/>
        <v>6216.79</v>
      </c>
      <c r="N116" s="114">
        <f t="shared" si="102"/>
        <v>4415.78</v>
      </c>
      <c r="O116" s="114">
        <f t="shared" si="102"/>
        <v>630.82</v>
      </c>
      <c r="P116" s="114">
        <f t="shared" si="102"/>
        <v>1261.65</v>
      </c>
      <c r="Q116" s="114">
        <f t="shared" si="102"/>
        <v>2523.31</v>
      </c>
    </row>
    <row r="117" s="4" customFormat="1" ht="18" customHeight="1" spans="1:17">
      <c r="A117" s="22"/>
      <c r="B117" s="22"/>
      <c r="C117" s="120">
        <v>0.85</v>
      </c>
      <c r="D117" s="10" t="s">
        <v>58</v>
      </c>
      <c r="E117" s="108"/>
      <c r="F117" s="108"/>
      <c r="G117" s="108"/>
      <c r="H117" s="108"/>
      <c r="I117" s="115">
        <f t="shared" ref="I117:I122" si="103">ROUND(G117*20/10000,2)</f>
        <v>0</v>
      </c>
      <c r="J117" s="107">
        <v>0</v>
      </c>
      <c r="K117" s="117">
        <f>ROUND(H117*0.4*10/10000,2)</f>
        <v>0</v>
      </c>
      <c r="L117" s="118">
        <v>25</v>
      </c>
      <c r="M117" s="118">
        <f t="shared" ref="M117:M122" si="104">SUM(I117:L117)</f>
        <v>25</v>
      </c>
      <c r="N117" s="41">
        <f t="shared" ref="N117:N122" si="105">I117</f>
        <v>0</v>
      </c>
      <c r="O117" s="117">
        <f t="shared" ref="O117:O122" si="106">ROUND((E117-F117/0.7)*0.1*0.002,2)</f>
        <v>0</v>
      </c>
      <c r="P117" s="117">
        <f t="shared" ref="P117:P122" si="107">ROUND((E117-F117/0.7)*0.2*0.002,2)</f>
        <v>0</v>
      </c>
      <c r="Q117" s="117">
        <f t="shared" ref="Q117:Q122" si="108">N117-O117-P117</f>
        <v>0</v>
      </c>
    </row>
    <row r="118" s="4" customFormat="1" ht="18" customHeight="1" spans="1:17">
      <c r="A118" s="22"/>
      <c r="B118" s="22"/>
      <c r="C118" s="109" t="s">
        <v>161</v>
      </c>
      <c r="D118" s="45" t="s">
        <v>187</v>
      </c>
      <c r="E118" s="46">
        <v>626061</v>
      </c>
      <c r="F118" s="108"/>
      <c r="G118" s="110">
        <f>ROUND(E118*0.7-F118,0)</f>
        <v>438243</v>
      </c>
      <c r="H118" s="110">
        <f>ROUND(G118*0.09,0)</f>
        <v>39442</v>
      </c>
      <c r="I118" s="115">
        <f t="shared" si="103"/>
        <v>876.49</v>
      </c>
      <c r="J118" s="116">
        <f>ROUND(G118*0.5*0.6*21/10000,2)</f>
        <v>276.09</v>
      </c>
      <c r="K118" s="117">
        <f>ROUND((H118+F118)*0.4*10/10000,2)</f>
        <v>15.78</v>
      </c>
      <c r="L118" s="118">
        <v>60</v>
      </c>
      <c r="M118" s="118">
        <f t="shared" si="104"/>
        <v>1228.36</v>
      </c>
      <c r="N118" s="41">
        <f t="shared" si="105"/>
        <v>876.49</v>
      </c>
      <c r="O118" s="117">
        <f t="shared" si="106"/>
        <v>125.21</v>
      </c>
      <c r="P118" s="117">
        <f t="shared" si="107"/>
        <v>250.42</v>
      </c>
      <c r="Q118" s="117">
        <f t="shared" si="108"/>
        <v>500.86</v>
      </c>
    </row>
    <row r="119" s="4" customFormat="1" ht="18" customHeight="1" spans="1:17">
      <c r="A119" s="22"/>
      <c r="B119" s="22"/>
      <c r="C119" s="109" t="s">
        <v>161</v>
      </c>
      <c r="D119" s="45" t="s">
        <v>188</v>
      </c>
      <c r="E119" s="46">
        <v>601991</v>
      </c>
      <c r="F119" s="108"/>
      <c r="G119" s="110">
        <f>ROUND(E119*0.7-F119,0)</f>
        <v>421394</v>
      </c>
      <c r="H119" s="110">
        <f>ROUND(G119*0.09,0)</f>
        <v>37925</v>
      </c>
      <c r="I119" s="115">
        <f t="shared" si="103"/>
        <v>842.79</v>
      </c>
      <c r="J119" s="116">
        <f>ROUND(G119*0.5*0.6*21/10000,2)</f>
        <v>265.48</v>
      </c>
      <c r="K119" s="117">
        <f>ROUND((H119+F119)*0.4*10/10000,2)</f>
        <v>15.17</v>
      </c>
      <c r="L119" s="118">
        <v>60</v>
      </c>
      <c r="M119" s="118">
        <f t="shared" si="104"/>
        <v>1183.44</v>
      </c>
      <c r="N119" s="41">
        <f t="shared" si="105"/>
        <v>842.79</v>
      </c>
      <c r="O119" s="117">
        <f t="shared" si="106"/>
        <v>120.4</v>
      </c>
      <c r="P119" s="117">
        <f t="shared" si="107"/>
        <v>240.8</v>
      </c>
      <c r="Q119" s="117">
        <f t="shared" si="108"/>
        <v>481.59</v>
      </c>
    </row>
    <row r="120" s="1" customFormat="1" ht="18" customHeight="1" spans="1:17">
      <c r="A120" s="10">
        <v>445222</v>
      </c>
      <c r="B120" s="10" t="s">
        <v>134</v>
      </c>
      <c r="C120" s="120">
        <v>1</v>
      </c>
      <c r="D120" s="10" t="s">
        <v>136</v>
      </c>
      <c r="E120" s="46">
        <v>366294</v>
      </c>
      <c r="F120" s="46">
        <v>1978</v>
      </c>
      <c r="G120" s="110">
        <f>ROUND(E120*0.7-F120,0)</f>
        <v>254428</v>
      </c>
      <c r="H120" s="110">
        <f>ROUND(G120*0.09,0)</f>
        <v>22899</v>
      </c>
      <c r="I120" s="115">
        <f t="shared" si="103"/>
        <v>508.86</v>
      </c>
      <c r="J120" s="116">
        <f>ROUND(G120*0.5*0.6*21/10000,2)</f>
        <v>160.29</v>
      </c>
      <c r="K120" s="117">
        <f>ROUND((H120+F120)*0.4*10/10000,2)</f>
        <v>9.95</v>
      </c>
      <c r="L120" s="118">
        <v>60</v>
      </c>
      <c r="M120" s="118">
        <f t="shared" si="104"/>
        <v>739.1</v>
      </c>
      <c r="N120" s="41">
        <f t="shared" si="105"/>
        <v>508.86</v>
      </c>
      <c r="O120" s="117">
        <f t="shared" si="106"/>
        <v>72.69</v>
      </c>
      <c r="P120" s="117">
        <f t="shared" si="107"/>
        <v>145.39</v>
      </c>
      <c r="Q120" s="117">
        <f t="shared" si="108"/>
        <v>290.78</v>
      </c>
    </row>
    <row r="121" s="1" customFormat="1" ht="18" customHeight="1" spans="1:17">
      <c r="A121" s="10">
        <v>445224</v>
      </c>
      <c r="B121" s="10" t="s">
        <v>134</v>
      </c>
      <c r="C121" s="120">
        <v>1</v>
      </c>
      <c r="D121" s="10" t="s">
        <v>137</v>
      </c>
      <c r="E121" s="46">
        <v>554985</v>
      </c>
      <c r="F121" s="46">
        <v>6284</v>
      </c>
      <c r="G121" s="110">
        <f>ROUND(E121*0.7-F121,0)</f>
        <v>382206</v>
      </c>
      <c r="H121" s="110">
        <f>ROUND(G121*0.09,0)</f>
        <v>34399</v>
      </c>
      <c r="I121" s="115">
        <f t="shared" si="103"/>
        <v>764.41</v>
      </c>
      <c r="J121" s="116">
        <f>ROUND(G121*0.5*0.6*21/10000,2)</f>
        <v>240.79</v>
      </c>
      <c r="K121" s="117">
        <f>ROUND((H121+F121)*0.4*10/10000,2)</f>
        <v>16.27</v>
      </c>
      <c r="L121" s="118">
        <v>60</v>
      </c>
      <c r="M121" s="118">
        <f t="shared" si="104"/>
        <v>1081.47</v>
      </c>
      <c r="N121" s="41">
        <f t="shared" si="105"/>
        <v>764.41</v>
      </c>
      <c r="O121" s="117">
        <f t="shared" si="106"/>
        <v>109.2</v>
      </c>
      <c r="P121" s="117">
        <f t="shared" si="107"/>
        <v>218.4</v>
      </c>
      <c r="Q121" s="117">
        <f t="shared" si="108"/>
        <v>436.81</v>
      </c>
    </row>
    <row r="122" s="1" customFormat="1" ht="18" customHeight="1" spans="1:17">
      <c r="A122" s="10">
        <v>445281</v>
      </c>
      <c r="B122" s="10" t="s">
        <v>134</v>
      </c>
      <c r="C122" s="120">
        <v>1</v>
      </c>
      <c r="D122" s="10" t="s">
        <v>138</v>
      </c>
      <c r="E122" s="46">
        <v>1024640</v>
      </c>
      <c r="F122" s="46">
        <v>5635</v>
      </c>
      <c r="G122" s="110">
        <f>ROUND(E122*0.7-F122,0)</f>
        <v>711613</v>
      </c>
      <c r="H122" s="110">
        <f>ROUND(G122*0.09,0)</f>
        <v>64045</v>
      </c>
      <c r="I122" s="115">
        <f t="shared" si="103"/>
        <v>1423.23</v>
      </c>
      <c r="J122" s="116">
        <f>ROUND(G122*0.5*0.6*21/10000,2)</f>
        <v>448.32</v>
      </c>
      <c r="K122" s="117">
        <f>ROUND((H122+F122)*0.4*10/10000,2)</f>
        <v>27.87</v>
      </c>
      <c r="L122" s="118">
        <v>60</v>
      </c>
      <c r="M122" s="118">
        <f t="shared" si="104"/>
        <v>1959.42</v>
      </c>
      <c r="N122" s="41">
        <f t="shared" si="105"/>
        <v>1423.23</v>
      </c>
      <c r="O122" s="117">
        <f t="shared" si="106"/>
        <v>203.32</v>
      </c>
      <c r="P122" s="117">
        <f t="shared" si="107"/>
        <v>406.64</v>
      </c>
      <c r="Q122" s="117">
        <f t="shared" si="108"/>
        <v>813.27</v>
      </c>
    </row>
    <row r="123" s="4" customFormat="1" ht="18" customHeight="1" spans="1:17">
      <c r="A123" s="22">
        <v>445300</v>
      </c>
      <c r="B123" s="22" t="s">
        <v>139</v>
      </c>
      <c r="C123" s="107"/>
      <c r="D123" s="23" t="s">
        <v>140</v>
      </c>
      <c r="E123" s="108">
        <f t="shared" ref="E123:Q123" si="109">SUM(E124:E129)</f>
        <v>1353853</v>
      </c>
      <c r="F123" s="108">
        <f t="shared" si="109"/>
        <v>68637</v>
      </c>
      <c r="G123" s="108">
        <f t="shared" si="109"/>
        <v>879060</v>
      </c>
      <c r="H123" s="108">
        <f t="shared" si="109"/>
        <v>79116</v>
      </c>
      <c r="I123" s="114">
        <f t="shared" si="109"/>
        <v>1758.12</v>
      </c>
      <c r="J123" s="107">
        <f t="shared" si="109"/>
        <v>553.8</v>
      </c>
      <c r="K123" s="114">
        <f t="shared" si="109"/>
        <v>59.1</v>
      </c>
      <c r="L123" s="114">
        <f t="shared" si="109"/>
        <v>325</v>
      </c>
      <c r="M123" s="114">
        <f t="shared" si="109"/>
        <v>2696.02</v>
      </c>
      <c r="N123" s="114">
        <f t="shared" si="109"/>
        <v>1758.12</v>
      </c>
      <c r="O123" s="114">
        <f t="shared" si="109"/>
        <v>251.16</v>
      </c>
      <c r="P123" s="114">
        <f t="shared" si="109"/>
        <v>502.33</v>
      </c>
      <c r="Q123" s="114">
        <f t="shared" si="109"/>
        <v>1004.63</v>
      </c>
    </row>
    <row r="124" s="4" customFormat="1" ht="18" customHeight="1" spans="1:17">
      <c r="A124" s="22"/>
      <c r="B124" s="22"/>
      <c r="C124" s="120">
        <v>0.85</v>
      </c>
      <c r="D124" s="10" t="s">
        <v>58</v>
      </c>
      <c r="E124" s="108"/>
      <c r="F124" s="108"/>
      <c r="G124" s="108"/>
      <c r="H124" s="108"/>
      <c r="I124" s="115">
        <f t="shared" ref="I124:I129" si="110">ROUND(G124*20/10000,2)</f>
        <v>0</v>
      </c>
      <c r="J124" s="107">
        <v>0</v>
      </c>
      <c r="K124" s="117">
        <f>ROUND(H124*0.4*10/10000,2)</f>
        <v>0</v>
      </c>
      <c r="L124" s="118">
        <v>25</v>
      </c>
      <c r="M124" s="118">
        <f t="shared" ref="M124:M129" si="111">SUM(I124:L124)</f>
        <v>25</v>
      </c>
      <c r="N124" s="41">
        <f t="shared" ref="N124:N129" si="112">I124</f>
        <v>0</v>
      </c>
      <c r="O124" s="117">
        <f t="shared" ref="O124:O129" si="113">ROUND((E124-F124/0.7)*0.1*0.002,2)</f>
        <v>0</v>
      </c>
      <c r="P124" s="117">
        <f t="shared" ref="P124:P129" si="114">ROUND((E124-F124/0.7)*0.2*0.002,2)</f>
        <v>0</v>
      </c>
      <c r="Q124" s="117">
        <f t="shared" ref="Q124:Q129" si="115">N124-O124-P124</f>
        <v>0</v>
      </c>
    </row>
    <row r="125" s="4" customFormat="1" ht="18" customHeight="1" spans="1:17">
      <c r="A125" s="22"/>
      <c r="B125" s="22"/>
      <c r="C125" s="109" t="s">
        <v>161</v>
      </c>
      <c r="D125" s="45" t="s">
        <v>189</v>
      </c>
      <c r="E125" s="46">
        <v>267092</v>
      </c>
      <c r="F125" s="108"/>
      <c r="G125" s="110">
        <f>ROUND(E125*0.7-F125,0)</f>
        <v>186964</v>
      </c>
      <c r="H125" s="110">
        <f>ROUND(G125*0.09,0)</f>
        <v>16827</v>
      </c>
      <c r="I125" s="115">
        <f t="shared" si="110"/>
        <v>373.93</v>
      </c>
      <c r="J125" s="116">
        <f>ROUND(G125*0.5*0.6*21/10000,2)</f>
        <v>117.79</v>
      </c>
      <c r="K125" s="117">
        <f>ROUND((H125+F125)*0.4*10/10000,2)</f>
        <v>6.73</v>
      </c>
      <c r="L125" s="118">
        <v>60</v>
      </c>
      <c r="M125" s="118">
        <f t="shared" si="111"/>
        <v>558.45</v>
      </c>
      <c r="N125" s="41">
        <f t="shared" si="112"/>
        <v>373.93</v>
      </c>
      <c r="O125" s="117">
        <f t="shared" si="113"/>
        <v>53.42</v>
      </c>
      <c r="P125" s="117">
        <f t="shared" si="114"/>
        <v>106.84</v>
      </c>
      <c r="Q125" s="117">
        <f t="shared" si="115"/>
        <v>213.67</v>
      </c>
    </row>
    <row r="126" s="4" customFormat="1" ht="18" customHeight="1" spans="1:17">
      <c r="A126" s="22"/>
      <c r="B126" s="22"/>
      <c r="C126" s="109" t="s">
        <v>161</v>
      </c>
      <c r="D126" s="45" t="s">
        <v>190</v>
      </c>
      <c r="E126" s="46">
        <v>144665</v>
      </c>
      <c r="F126" s="108"/>
      <c r="G126" s="110">
        <f>ROUND(E126*0.7-F126,0)</f>
        <v>101266</v>
      </c>
      <c r="H126" s="110">
        <f>ROUND(G126*0.09,0)</f>
        <v>9114</v>
      </c>
      <c r="I126" s="115">
        <f t="shared" si="110"/>
        <v>202.53</v>
      </c>
      <c r="J126" s="116">
        <f>ROUND(G126*0.5*0.6*21/10000,2)</f>
        <v>63.8</v>
      </c>
      <c r="K126" s="117">
        <f>ROUND((H126+F126)*0.4*10/10000,2)</f>
        <v>3.65</v>
      </c>
      <c r="L126" s="118">
        <v>60</v>
      </c>
      <c r="M126" s="118">
        <f t="shared" si="111"/>
        <v>329.98</v>
      </c>
      <c r="N126" s="41">
        <f t="shared" si="112"/>
        <v>202.53</v>
      </c>
      <c r="O126" s="117">
        <f t="shared" si="113"/>
        <v>28.93</v>
      </c>
      <c r="P126" s="117">
        <f t="shared" si="114"/>
        <v>57.87</v>
      </c>
      <c r="Q126" s="117">
        <f t="shared" si="115"/>
        <v>115.73</v>
      </c>
    </row>
    <row r="127" s="1" customFormat="1" ht="18" customHeight="1" spans="1:17">
      <c r="A127" s="10">
        <v>445321</v>
      </c>
      <c r="B127" s="10" t="s">
        <v>139</v>
      </c>
      <c r="C127" s="120">
        <v>0.85</v>
      </c>
      <c r="D127" s="10" t="s">
        <v>141</v>
      </c>
      <c r="E127" s="46">
        <v>271061</v>
      </c>
      <c r="F127" s="46">
        <v>15657</v>
      </c>
      <c r="G127" s="110">
        <f>ROUND(E127*0.7-F127,0)</f>
        <v>174086</v>
      </c>
      <c r="H127" s="110">
        <f>ROUND(G127*0.09,0)</f>
        <v>15668</v>
      </c>
      <c r="I127" s="115">
        <f t="shared" si="110"/>
        <v>348.17</v>
      </c>
      <c r="J127" s="116">
        <f>ROUND(G127*0.5*0.6*21/10000,2)</f>
        <v>109.67</v>
      </c>
      <c r="K127" s="117">
        <f>ROUND((H127+F127)*0.4*10/10000,2)</f>
        <v>12.53</v>
      </c>
      <c r="L127" s="118">
        <v>60</v>
      </c>
      <c r="M127" s="118">
        <f t="shared" si="111"/>
        <v>530.37</v>
      </c>
      <c r="N127" s="41">
        <f t="shared" si="112"/>
        <v>348.17</v>
      </c>
      <c r="O127" s="117">
        <f t="shared" si="113"/>
        <v>49.74</v>
      </c>
      <c r="P127" s="117">
        <f t="shared" si="114"/>
        <v>99.48</v>
      </c>
      <c r="Q127" s="117">
        <f t="shared" si="115"/>
        <v>198.95</v>
      </c>
    </row>
    <row r="128" s="1" customFormat="1" ht="18" customHeight="1" spans="1:17">
      <c r="A128" s="10">
        <v>445322</v>
      </c>
      <c r="B128" s="10" t="s">
        <v>139</v>
      </c>
      <c r="C128" s="120">
        <v>0.85</v>
      </c>
      <c r="D128" s="10" t="s">
        <v>142</v>
      </c>
      <c r="E128" s="46">
        <v>217762</v>
      </c>
      <c r="F128" s="46">
        <v>16410</v>
      </c>
      <c r="G128" s="110">
        <f>ROUND(E128*0.7-F128,0)</f>
        <v>136023</v>
      </c>
      <c r="H128" s="110">
        <f>ROUND(G128*0.09,0)</f>
        <v>12242</v>
      </c>
      <c r="I128" s="115">
        <f t="shared" si="110"/>
        <v>272.05</v>
      </c>
      <c r="J128" s="116">
        <f>ROUND(G128*0.5*0.6*21/10000,2)</f>
        <v>85.69</v>
      </c>
      <c r="K128" s="117">
        <f>ROUND((H128+F128)*0.4*10/10000,2)</f>
        <v>11.46</v>
      </c>
      <c r="L128" s="118">
        <v>60</v>
      </c>
      <c r="M128" s="118">
        <f t="shared" si="111"/>
        <v>429.2</v>
      </c>
      <c r="N128" s="41">
        <f t="shared" si="112"/>
        <v>272.05</v>
      </c>
      <c r="O128" s="117">
        <f t="shared" si="113"/>
        <v>38.86</v>
      </c>
      <c r="P128" s="117">
        <f t="shared" si="114"/>
        <v>77.73</v>
      </c>
      <c r="Q128" s="117">
        <f t="shared" si="115"/>
        <v>155.46</v>
      </c>
    </row>
    <row r="129" s="1" customFormat="1" ht="18" customHeight="1" spans="1:17">
      <c r="A129" s="10">
        <v>445381</v>
      </c>
      <c r="B129" s="10" t="s">
        <v>139</v>
      </c>
      <c r="C129" s="120">
        <v>0.85</v>
      </c>
      <c r="D129" s="10" t="s">
        <v>143</v>
      </c>
      <c r="E129" s="46">
        <v>453273</v>
      </c>
      <c r="F129" s="46">
        <v>36570</v>
      </c>
      <c r="G129" s="110">
        <f>ROUND(E129*0.7-F129,0)</f>
        <v>280721</v>
      </c>
      <c r="H129" s="110">
        <f>ROUND(G129*0.09,0)</f>
        <v>25265</v>
      </c>
      <c r="I129" s="115">
        <f t="shared" si="110"/>
        <v>561.44</v>
      </c>
      <c r="J129" s="116">
        <f>ROUND(G129*0.5*0.6*21/10000,2)</f>
        <v>176.85</v>
      </c>
      <c r="K129" s="117">
        <f>ROUND((H129+F129)*0.4*10/10000,2)</f>
        <v>24.73</v>
      </c>
      <c r="L129" s="118">
        <v>60</v>
      </c>
      <c r="M129" s="118">
        <f t="shared" si="111"/>
        <v>823.02</v>
      </c>
      <c r="N129" s="41">
        <f t="shared" si="112"/>
        <v>561.44</v>
      </c>
      <c r="O129" s="117">
        <f t="shared" si="113"/>
        <v>80.21</v>
      </c>
      <c r="P129" s="117">
        <f t="shared" si="114"/>
        <v>160.41</v>
      </c>
      <c r="Q129" s="117">
        <f t="shared" si="115"/>
        <v>320.82</v>
      </c>
    </row>
    <row r="130" s="1" customFormat="1" spans="3:14">
      <c r="C130" s="104"/>
      <c r="E130" s="76"/>
      <c r="F130" s="76"/>
      <c r="G130" s="76"/>
      <c r="H130" s="76"/>
      <c r="I130" s="104"/>
      <c r="J130" s="104"/>
      <c r="K130" s="104"/>
      <c r="L130" s="104"/>
      <c r="M130" s="104"/>
      <c r="N130" s="104"/>
    </row>
    <row r="131" s="1" customFormat="1" ht="116" customHeight="1" spans="3:17">
      <c r="C131" s="111"/>
      <c r="D131" s="111" t="s">
        <v>160</v>
      </c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</row>
    <row r="132" s="1" customFormat="1" ht="16" customHeight="1" spans="3:14">
      <c r="C132" s="112"/>
      <c r="D132" s="113"/>
      <c r="E132" s="113"/>
      <c r="F132" s="113"/>
      <c r="G132" s="113"/>
      <c r="H132" s="113"/>
      <c r="I132" s="112"/>
      <c r="J132" s="112"/>
      <c r="K132" s="112"/>
      <c r="L132" s="112"/>
      <c r="M132" s="112"/>
      <c r="N132" s="112"/>
    </row>
    <row r="133" s="1" customFormat="1" ht="16" customHeight="1" spans="3:14">
      <c r="C133" s="112"/>
      <c r="D133" s="113"/>
      <c r="E133" s="113"/>
      <c r="F133" s="113"/>
      <c r="G133" s="113"/>
      <c r="H133" s="113"/>
      <c r="I133" s="112"/>
      <c r="J133" s="112"/>
      <c r="K133" s="112"/>
      <c r="L133" s="112"/>
      <c r="M133" s="112"/>
      <c r="N133" s="112"/>
    </row>
    <row r="134" s="1" customFormat="1" ht="16" customHeight="1" spans="3:14">
      <c r="C134" s="112"/>
      <c r="D134" s="113"/>
      <c r="E134" s="113"/>
      <c r="F134" s="113"/>
      <c r="G134" s="113"/>
      <c r="H134" s="113"/>
      <c r="I134" s="112"/>
      <c r="J134" s="112"/>
      <c r="K134" s="112"/>
      <c r="L134" s="112"/>
      <c r="M134" s="112"/>
      <c r="N134" s="112"/>
    </row>
    <row r="135" s="1" customFormat="1" ht="16" customHeight="1" spans="3:14">
      <c r="C135" s="112"/>
      <c r="D135" s="113"/>
      <c r="E135" s="113"/>
      <c r="F135" s="113"/>
      <c r="G135" s="113"/>
      <c r="H135" s="113"/>
      <c r="I135" s="112"/>
      <c r="J135" s="112"/>
      <c r="K135" s="112"/>
      <c r="L135" s="112"/>
      <c r="M135" s="112"/>
      <c r="N135" s="112"/>
    </row>
    <row r="136" s="1" customFormat="1" ht="16" customHeight="1" spans="3:14">
      <c r="C136" s="112"/>
      <c r="D136" s="113"/>
      <c r="E136" s="113"/>
      <c r="F136" s="113"/>
      <c r="G136" s="113"/>
      <c r="H136" s="113"/>
      <c r="I136" s="112"/>
      <c r="J136" s="112"/>
      <c r="K136" s="112"/>
      <c r="L136" s="112"/>
      <c r="M136" s="112"/>
      <c r="N136" s="112"/>
    </row>
    <row r="137" s="1" customFormat="1" ht="16" customHeight="1" spans="3:14">
      <c r="C137" s="112"/>
      <c r="D137" s="113"/>
      <c r="E137" s="113"/>
      <c r="F137" s="113"/>
      <c r="G137" s="113"/>
      <c r="H137" s="113"/>
      <c r="I137" s="112"/>
      <c r="J137" s="112"/>
      <c r="K137" s="112"/>
      <c r="L137" s="112"/>
      <c r="M137" s="112"/>
      <c r="N137" s="112"/>
    </row>
    <row r="138" s="1" customFormat="1" ht="16" customHeight="1" spans="3:14">
      <c r="C138" s="112"/>
      <c r="D138" s="113"/>
      <c r="E138" s="113"/>
      <c r="F138" s="113"/>
      <c r="G138" s="113"/>
      <c r="H138" s="113"/>
      <c r="I138" s="112"/>
      <c r="J138" s="112"/>
      <c r="K138" s="112"/>
      <c r="L138" s="112"/>
      <c r="M138" s="112"/>
      <c r="N138" s="112"/>
    </row>
    <row r="139" s="1" customFormat="1" spans="3:14">
      <c r="C139" s="104"/>
      <c r="E139" s="76"/>
      <c r="F139" s="76"/>
      <c r="G139" s="76"/>
      <c r="H139" s="76"/>
      <c r="I139" s="104"/>
      <c r="J139" s="104"/>
      <c r="K139" s="104"/>
      <c r="L139" s="104"/>
      <c r="M139" s="104"/>
      <c r="N139" s="104"/>
    </row>
  </sheetData>
  <autoFilter ref="A3:S129">
    <extLst/>
  </autoFilter>
  <mergeCells count="3">
    <mergeCell ref="D1:Q1"/>
    <mergeCell ref="N2:Q2"/>
    <mergeCell ref="D131:Q13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5"/>
  <sheetViews>
    <sheetView topLeftCell="H1" workbookViewId="0">
      <selection activeCell="J12" sqref="J12"/>
    </sheetView>
  </sheetViews>
  <sheetFormatPr defaultColWidth="9" defaultRowHeight="15"/>
  <cols>
    <col min="1" max="1" width="9" style="1" hidden="1" customWidth="1"/>
    <col min="2" max="2" width="9.50833333333333" style="1" hidden="1" customWidth="1"/>
    <col min="3" max="3" width="6.125" style="104" hidden="1" customWidth="1"/>
    <col min="4" max="4" width="20.875" style="1" customWidth="1"/>
    <col min="5" max="5" width="9.25833333333333" style="76" customWidth="1"/>
    <col min="6" max="6" width="11.75" style="76" hidden="1" customWidth="1"/>
    <col min="7" max="7" width="13.5083333333333" style="76" customWidth="1"/>
    <col min="8" max="8" width="13.875" style="76" customWidth="1"/>
    <col min="9" max="9" width="14.375" style="104" customWidth="1"/>
    <col min="10" max="11" width="16.875" style="104" customWidth="1"/>
    <col min="12" max="13" width="13.25" style="104" customWidth="1"/>
    <col min="14" max="14" width="12.25" style="104" customWidth="1"/>
    <col min="15" max="17" width="11.625" style="90" customWidth="1"/>
    <col min="19" max="19" width="9.375"/>
  </cols>
  <sheetData>
    <row r="1" s="1" customFormat="1" ht="29" customHeight="1" spans="3:17">
      <c r="C1" s="6"/>
      <c r="D1" s="6" t="s">
        <v>0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50" customHeight="1" spans="1:17">
      <c r="A2" s="105" t="s">
        <v>5</v>
      </c>
      <c r="B2" s="105" t="s">
        <v>6</v>
      </c>
      <c r="C2" s="13" t="s">
        <v>15</v>
      </c>
      <c r="D2" s="8" t="s">
        <v>1</v>
      </c>
      <c r="E2" s="8" t="s">
        <v>7</v>
      </c>
      <c r="F2" s="8" t="s">
        <v>8</v>
      </c>
      <c r="G2" s="8" t="s">
        <v>9</v>
      </c>
      <c r="H2" s="8" t="s">
        <v>150</v>
      </c>
      <c r="I2" s="13" t="s">
        <v>151</v>
      </c>
      <c r="J2" s="13" t="s">
        <v>12</v>
      </c>
      <c r="K2" s="13" t="s">
        <v>13</v>
      </c>
      <c r="L2" s="13" t="s">
        <v>152</v>
      </c>
      <c r="M2" s="13" t="s">
        <v>153</v>
      </c>
      <c r="N2" s="8" t="s">
        <v>154</v>
      </c>
      <c r="O2" s="8"/>
      <c r="P2" s="8"/>
      <c r="Q2" s="8"/>
    </row>
    <row r="3" s="75" customFormat="1" ht="43" customHeight="1" spans="1:17">
      <c r="A3" s="106"/>
      <c r="B3" s="106"/>
      <c r="C3" s="13" t="s">
        <v>34</v>
      </c>
      <c r="D3" s="8" t="s">
        <v>25</v>
      </c>
      <c r="E3" s="8" t="s">
        <v>26</v>
      </c>
      <c r="F3" s="8" t="s">
        <v>27</v>
      </c>
      <c r="G3" s="8" t="s">
        <v>191</v>
      </c>
      <c r="H3" s="8" t="s">
        <v>29</v>
      </c>
      <c r="I3" s="13" t="s">
        <v>30</v>
      </c>
      <c r="J3" s="13" t="s">
        <v>31</v>
      </c>
      <c r="K3" s="13" t="s">
        <v>155</v>
      </c>
      <c r="L3" s="13" t="s">
        <v>43</v>
      </c>
      <c r="M3" s="13" t="s">
        <v>156</v>
      </c>
      <c r="N3" s="13" t="s">
        <v>157</v>
      </c>
      <c r="O3" s="42" t="s">
        <v>146</v>
      </c>
      <c r="P3" s="42" t="s">
        <v>158</v>
      </c>
      <c r="Q3" s="42" t="s">
        <v>159</v>
      </c>
    </row>
    <row r="4" s="2" customFormat="1" ht="18" customHeight="1" spans="1:17">
      <c r="A4" s="15"/>
      <c r="B4" s="15"/>
      <c r="C4" s="107"/>
      <c r="D4" s="15" t="s">
        <v>55</v>
      </c>
      <c r="E4" s="108">
        <f>E5+E9+E16+E21+E24+E27+E29+E31+E37+E40+E43+E34</f>
        <v>13338549</v>
      </c>
      <c r="F4" s="108">
        <f t="shared" ref="F4:Q4" si="0">F5+F9+F16+F21+F24+F27+F29+F31+F37+F40+F43+F34</f>
        <v>0</v>
      </c>
      <c r="G4" s="108">
        <f t="shared" si="0"/>
        <v>9336987</v>
      </c>
      <c r="H4" s="108">
        <f t="shared" si="0"/>
        <v>840330</v>
      </c>
      <c r="I4" s="108">
        <f t="shared" si="0"/>
        <v>18673.96</v>
      </c>
      <c r="J4" s="108">
        <f t="shared" si="0"/>
        <v>5882.31</v>
      </c>
      <c r="K4" s="108">
        <f t="shared" si="0"/>
        <v>336.16</v>
      </c>
      <c r="L4" s="108">
        <f t="shared" si="0"/>
        <v>1740</v>
      </c>
      <c r="M4" s="108">
        <f t="shared" si="0"/>
        <v>26632.43</v>
      </c>
      <c r="N4" s="108">
        <f t="shared" si="0"/>
        <v>18673.96</v>
      </c>
      <c r="O4" s="108">
        <f t="shared" si="0"/>
        <v>2667.68</v>
      </c>
      <c r="P4" s="108">
        <f t="shared" si="0"/>
        <v>5335.43</v>
      </c>
      <c r="Q4" s="108">
        <f t="shared" si="0"/>
        <v>10670.85</v>
      </c>
    </row>
    <row r="5" s="4" customFormat="1" ht="18" customHeight="1" spans="1:17">
      <c r="A5" s="22">
        <v>440200</v>
      </c>
      <c r="B5" s="22" t="s">
        <v>56</v>
      </c>
      <c r="C5" s="107"/>
      <c r="D5" s="23" t="s">
        <v>57</v>
      </c>
      <c r="E5" s="108">
        <f t="shared" ref="E5:Q5" si="1">SUM(E6:E8)</f>
        <v>691825</v>
      </c>
      <c r="F5" s="108">
        <f t="shared" si="1"/>
        <v>0</v>
      </c>
      <c r="G5" s="108">
        <f t="shared" si="1"/>
        <v>484278</v>
      </c>
      <c r="H5" s="108">
        <f t="shared" si="1"/>
        <v>43584</v>
      </c>
      <c r="I5" s="114">
        <f t="shared" si="1"/>
        <v>968.55</v>
      </c>
      <c r="J5" s="107">
        <f t="shared" si="1"/>
        <v>305.09</v>
      </c>
      <c r="K5" s="114">
        <f t="shared" si="1"/>
        <v>17.44</v>
      </c>
      <c r="L5" s="114">
        <f t="shared" si="1"/>
        <v>180</v>
      </c>
      <c r="M5" s="114">
        <f t="shared" si="1"/>
        <v>1471.08</v>
      </c>
      <c r="N5" s="114">
        <f t="shared" si="1"/>
        <v>968.55</v>
      </c>
      <c r="O5" s="114">
        <f t="shared" si="1"/>
        <v>138.36</v>
      </c>
      <c r="P5" s="114">
        <f t="shared" si="1"/>
        <v>276.73</v>
      </c>
      <c r="Q5" s="114">
        <f t="shared" si="1"/>
        <v>553.46</v>
      </c>
    </row>
    <row r="6" s="4" customFormat="1" ht="18" customHeight="1" spans="1:17">
      <c r="A6" s="22"/>
      <c r="B6" s="22"/>
      <c r="C6" s="109" t="s">
        <v>161</v>
      </c>
      <c r="D6" s="45" t="s">
        <v>162</v>
      </c>
      <c r="E6" s="46">
        <v>245150</v>
      </c>
      <c r="F6" s="108"/>
      <c r="G6" s="110">
        <f>ROUND(E6*0.7-F6,0)</f>
        <v>171605</v>
      </c>
      <c r="H6" s="110">
        <f>ROUND(G6*0.09,0)</f>
        <v>15444</v>
      </c>
      <c r="I6" s="115">
        <f>ROUND(G6*20/10000,2)</f>
        <v>343.21</v>
      </c>
      <c r="J6" s="116">
        <f>ROUND(G6*0.5*0.6*21/10000,2)</f>
        <v>108.11</v>
      </c>
      <c r="K6" s="117">
        <f>ROUND((H6+F6)*0.4*10/10000,2)</f>
        <v>6.18</v>
      </c>
      <c r="L6" s="118">
        <v>60</v>
      </c>
      <c r="M6" s="118">
        <f>SUM(I6:L6)</f>
        <v>517.5</v>
      </c>
      <c r="N6" s="41">
        <f>I6</f>
        <v>343.21</v>
      </c>
      <c r="O6" s="117">
        <f>ROUND((E6-F6/0.7)*0.1*0.002,2)</f>
        <v>49.03</v>
      </c>
      <c r="P6" s="117">
        <f>ROUND((E6-F6/0.7)*0.2*0.002,2)</f>
        <v>98.06</v>
      </c>
      <c r="Q6" s="117">
        <f>N6-O6-P6</f>
        <v>196.12</v>
      </c>
    </row>
    <row r="7" s="4" customFormat="1" ht="18" customHeight="1" spans="1:17">
      <c r="A7" s="22"/>
      <c r="B7" s="22"/>
      <c r="C7" s="109" t="s">
        <v>161</v>
      </c>
      <c r="D7" s="45" t="s">
        <v>163</v>
      </c>
      <c r="E7" s="46">
        <v>253974</v>
      </c>
      <c r="F7" s="108"/>
      <c r="G7" s="110">
        <f>ROUND(E7*0.7-F7,0)</f>
        <v>177782</v>
      </c>
      <c r="H7" s="110">
        <f>ROUND(G7*0.09,0)</f>
        <v>16000</v>
      </c>
      <c r="I7" s="115">
        <f>ROUND(G7*20/10000,2)</f>
        <v>355.56</v>
      </c>
      <c r="J7" s="116">
        <f>ROUND(G7*0.5*0.6*21/10000,2)</f>
        <v>112</v>
      </c>
      <c r="K7" s="117">
        <f>ROUND((H7+F7)*0.4*10/10000,2)</f>
        <v>6.4</v>
      </c>
      <c r="L7" s="118">
        <v>60</v>
      </c>
      <c r="M7" s="118">
        <f>SUM(I7:L7)</f>
        <v>533.96</v>
      </c>
      <c r="N7" s="41">
        <f>I7</f>
        <v>355.56</v>
      </c>
      <c r="O7" s="117">
        <f>ROUND((E7-F7/0.7)*0.1*0.002,2)</f>
        <v>50.79</v>
      </c>
      <c r="P7" s="117">
        <f>ROUND((E7-F7/0.7)*0.2*0.002,2)</f>
        <v>101.59</v>
      </c>
      <c r="Q7" s="117">
        <f>N7-O7-P7</f>
        <v>203.18</v>
      </c>
    </row>
    <row r="8" s="4" customFormat="1" ht="18" customHeight="1" spans="1:17">
      <c r="A8" s="22"/>
      <c r="B8" s="22"/>
      <c r="C8" s="109" t="s">
        <v>161</v>
      </c>
      <c r="D8" s="45" t="s">
        <v>164</v>
      </c>
      <c r="E8" s="46">
        <v>192701</v>
      </c>
      <c r="F8" s="108"/>
      <c r="G8" s="110">
        <f>ROUND(E8*0.7-F8,0)</f>
        <v>134891</v>
      </c>
      <c r="H8" s="110">
        <f>ROUND(G8*0.09,0)</f>
        <v>12140</v>
      </c>
      <c r="I8" s="115">
        <f>ROUND(G8*20/10000,2)</f>
        <v>269.78</v>
      </c>
      <c r="J8" s="116">
        <f>ROUND(G8*0.5*0.6*21/10000,2)</f>
        <v>84.98</v>
      </c>
      <c r="K8" s="117">
        <f>ROUND((H8+F8)*0.4*10/10000,2)</f>
        <v>4.86</v>
      </c>
      <c r="L8" s="118">
        <v>60</v>
      </c>
      <c r="M8" s="118">
        <f>SUM(I8:L8)</f>
        <v>419.62</v>
      </c>
      <c r="N8" s="41">
        <f>I8</f>
        <v>269.78</v>
      </c>
      <c r="O8" s="117">
        <f>ROUND((E8-F8/0.7)*0.1*0.002,2)</f>
        <v>38.54</v>
      </c>
      <c r="P8" s="117">
        <f>ROUND((E8-F8/0.7)*0.2*0.002,2)</f>
        <v>77.08</v>
      </c>
      <c r="Q8" s="117">
        <f>N8-O8-P8</f>
        <v>154.16</v>
      </c>
    </row>
    <row r="9" s="4" customFormat="1" ht="18" customHeight="1" spans="1:17">
      <c r="A9" s="22">
        <v>440500</v>
      </c>
      <c r="B9" s="22" t="s">
        <v>66</v>
      </c>
      <c r="C9" s="107"/>
      <c r="D9" s="23" t="s">
        <v>67</v>
      </c>
      <c r="E9" s="108">
        <f t="shared" ref="E9:Q9" si="2">SUM(E10:E15)</f>
        <v>3559420</v>
      </c>
      <c r="F9" s="108">
        <f t="shared" si="2"/>
        <v>0</v>
      </c>
      <c r="G9" s="108">
        <f t="shared" si="2"/>
        <v>2491595</v>
      </c>
      <c r="H9" s="108">
        <f t="shared" si="2"/>
        <v>224244</v>
      </c>
      <c r="I9" s="114">
        <f t="shared" si="2"/>
        <v>4983.19</v>
      </c>
      <c r="J9" s="107">
        <f t="shared" si="2"/>
        <v>1569.7</v>
      </c>
      <c r="K9" s="114">
        <f t="shared" si="2"/>
        <v>89.7</v>
      </c>
      <c r="L9" s="114">
        <f t="shared" si="2"/>
        <v>360</v>
      </c>
      <c r="M9" s="114">
        <f t="shared" si="2"/>
        <v>7002.59</v>
      </c>
      <c r="N9" s="114">
        <f t="shared" si="2"/>
        <v>4983.19</v>
      </c>
      <c r="O9" s="114">
        <f t="shared" si="2"/>
        <v>711.88</v>
      </c>
      <c r="P9" s="114">
        <f t="shared" si="2"/>
        <v>1423.77</v>
      </c>
      <c r="Q9" s="114">
        <f t="shared" si="2"/>
        <v>2847.54</v>
      </c>
    </row>
    <row r="10" s="4" customFormat="1" ht="18" customHeight="1" spans="1:17">
      <c r="A10" s="22"/>
      <c r="B10" s="22"/>
      <c r="C10" s="109" t="s">
        <v>161</v>
      </c>
      <c r="D10" s="45" t="s">
        <v>165</v>
      </c>
      <c r="E10" s="46">
        <v>551138</v>
      </c>
      <c r="F10" s="108"/>
      <c r="G10" s="110">
        <f t="shared" ref="G10:G16" si="3">ROUND(E10*0.7-F10,0)</f>
        <v>385797</v>
      </c>
      <c r="H10" s="110">
        <f t="shared" ref="H10:H16" si="4">ROUND(G10*0.09,0)</f>
        <v>34722</v>
      </c>
      <c r="I10" s="115">
        <f t="shared" ref="I10:I16" si="5">ROUND(G10*20/10000,2)</f>
        <v>771.59</v>
      </c>
      <c r="J10" s="116">
        <f t="shared" ref="J10:J16" si="6">ROUND(G10*0.5*0.6*21/10000,2)</f>
        <v>243.05</v>
      </c>
      <c r="K10" s="117">
        <f t="shared" ref="K10:K16" si="7">ROUND((H10+F10)*0.4*10/10000,2)</f>
        <v>13.89</v>
      </c>
      <c r="L10" s="118">
        <v>60</v>
      </c>
      <c r="M10" s="118">
        <f t="shared" ref="M10:M16" si="8">SUM(I10:L10)</f>
        <v>1088.53</v>
      </c>
      <c r="N10" s="41">
        <f t="shared" ref="N10:N16" si="9">I10</f>
        <v>771.59</v>
      </c>
      <c r="O10" s="117">
        <f t="shared" ref="O10:O16" si="10">ROUND((E10-F10/0.7)*0.1*0.002,2)</f>
        <v>110.23</v>
      </c>
      <c r="P10" s="117">
        <f t="shared" ref="P10:P16" si="11">ROUND((E10-F10/0.7)*0.2*0.002,2)</f>
        <v>220.46</v>
      </c>
      <c r="Q10" s="117">
        <f t="shared" ref="Q10:Q16" si="12">N10-O10-P10</f>
        <v>440.9</v>
      </c>
    </row>
    <row r="11" s="4" customFormat="1" ht="18" customHeight="1" spans="1:17">
      <c r="A11" s="22"/>
      <c r="B11" s="22"/>
      <c r="C11" s="109" t="s">
        <v>161</v>
      </c>
      <c r="D11" s="45" t="s">
        <v>166</v>
      </c>
      <c r="E11" s="46">
        <v>446805</v>
      </c>
      <c r="F11" s="108"/>
      <c r="G11" s="110">
        <f t="shared" si="3"/>
        <v>312764</v>
      </c>
      <c r="H11" s="110">
        <f t="shared" si="4"/>
        <v>28149</v>
      </c>
      <c r="I11" s="115">
        <f t="shared" si="5"/>
        <v>625.53</v>
      </c>
      <c r="J11" s="116">
        <f t="shared" si="6"/>
        <v>197.04</v>
      </c>
      <c r="K11" s="117">
        <f t="shared" si="7"/>
        <v>11.26</v>
      </c>
      <c r="L11" s="118">
        <v>60</v>
      </c>
      <c r="M11" s="118">
        <f t="shared" si="8"/>
        <v>893.83</v>
      </c>
      <c r="N11" s="41">
        <f t="shared" si="9"/>
        <v>625.53</v>
      </c>
      <c r="O11" s="117">
        <f t="shared" si="10"/>
        <v>89.36</v>
      </c>
      <c r="P11" s="117">
        <f t="shared" si="11"/>
        <v>178.72</v>
      </c>
      <c r="Q11" s="117">
        <f t="shared" si="12"/>
        <v>357.45</v>
      </c>
    </row>
    <row r="12" s="4" customFormat="1" ht="18" customHeight="1" spans="1:17">
      <c r="A12" s="22"/>
      <c r="B12" s="22"/>
      <c r="C12" s="109" t="s">
        <v>161</v>
      </c>
      <c r="D12" s="45" t="s">
        <v>167</v>
      </c>
      <c r="E12" s="46">
        <v>620486</v>
      </c>
      <c r="F12" s="108"/>
      <c r="G12" s="110">
        <f t="shared" si="3"/>
        <v>434340</v>
      </c>
      <c r="H12" s="110">
        <f t="shared" si="4"/>
        <v>39091</v>
      </c>
      <c r="I12" s="115">
        <f t="shared" si="5"/>
        <v>868.68</v>
      </c>
      <c r="J12" s="116">
        <f t="shared" si="6"/>
        <v>273.63</v>
      </c>
      <c r="K12" s="117">
        <f t="shared" si="7"/>
        <v>15.64</v>
      </c>
      <c r="L12" s="118">
        <v>60</v>
      </c>
      <c r="M12" s="118">
        <f t="shared" si="8"/>
        <v>1217.95</v>
      </c>
      <c r="N12" s="41">
        <f t="shared" si="9"/>
        <v>868.68</v>
      </c>
      <c r="O12" s="117">
        <f t="shared" si="10"/>
        <v>124.1</v>
      </c>
      <c r="P12" s="117">
        <f t="shared" si="11"/>
        <v>248.19</v>
      </c>
      <c r="Q12" s="117">
        <f t="shared" si="12"/>
        <v>496.39</v>
      </c>
    </row>
    <row r="13" s="4" customFormat="1" ht="18" customHeight="1" spans="1:17">
      <c r="A13" s="22"/>
      <c r="B13" s="22"/>
      <c r="C13" s="109" t="s">
        <v>161</v>
      </c>
      <c r="D13" s="45" t="s">
        <v>168</v>
      </c>
      <c r="E13" s="46">
        <v>170665</v>
      </c>
      <c r="F13" s="108"/>
      <c r="G13" s="110">
        <f t="shared" si="3"/>
        <v>119466</v>
      </c>
      <c r="H13" s="110">
        <f t="shared" si="4"/>
        <v>10752</v>
      </c>
      <c r="I13" s="115">
        <f t="shared" si="5"/>
        <v>238.93</v>
      </c>
      <c r="J13" s="116">
        <f t="shared" si="6"/>
        <v>75.26</v>
      </c>
      <c r="K13" s="117">
        <f t="shared" si="7"/>
        <v>4.3</v>
      </c>
      <c r="L13" s="118">
        <v>60</v>
      </c>
      <c r="M13" s="118">
        <f t="shared" si="8"/>
        <v>378.49</v>
      </c>
      <c r="N13" s="41">
        <f t="shared" si="9"/>
        <v>238.93</v>
      </c>
      <c r="O13" s="117">
        <f t="shared" si="10"/>
        <v>34.13</v>
      </c>
      <c r="P13" s="117">
        <f t="shared" si="11"/>
        <v>68.27</v>
      </c>
      <c r="Q13" s="117">
        <f t="shared" si="12"/>
        <v>136.53</v>
      </c>
    </row>
    <row r="14" s="4" customFormat="1" ht="18" customHeight="1" spans="1:17">
      <c r="A14" s="22"/>
      <c r="B14" s="22"/>
      <c r="C14" s="109" t="s">
        <v>161</v>
      </c>
      <c r="D14" s="45" t="s">
        <v>169</v>
      </c>
      <c r="E14" s="46">
        <v>1025369</v>
      </c>
      <c r="F14" s="108"/>
      <c r="G14" s="110">
        <f t="shared" si="3"/>
        <v>717758</v>
      </c>
      <c r="H14" s="110">
        <f t="shared" si="4"/>
        <v>64598</v>
      </c>
      <c r="I14" s="115">
        <f t="shared" si="5"/>
        <v>1435.52</v>
      </c>
      <c r="J14" s="116">
        <f t="shared" si="6"/>
        <v>452.19</v>
      </c>
      <c r="K14" s="117">
        <f t="shared" si="7"/>
        <v>25.84</v>
      </c>
      <c r="L14" s="118">
        <v>60</v>
      </c>
      <c r="M14" s="118">
        <f t="shared" si="8"/>
        <v>1973.55</v>
      </c>
      <c r="N14" s="41">
        <f t="shared" si="9"/>
        <v>1435.52</v>
      </c>
      <c r="O14" s="117">
        <f t="shared" si="10"/>
        <v>205.07</v>
      </c>
      <c r="P14" s="117">
        <f t="shared" si="11"/>
        <v>410.15</v>
      </c>
      <c r="Q14" s="117">
        <f t="shared" si="12"/>
        <v>820.3</v>
      </c>
    </row>
    <row r="15" s="4" customFormat="1" ht="18" customHeight="1" spans="1:17">
      <c r="A15" s="22"/>
      <c r="B15" s="22"/>
      <c r="C15" s="109" t="s">
        <v>161</v>
      </c>
      <c r="D15" s="45" t="s">
        <v>170</v>
      </c>
      <c r="E15" s="46">
        <v>744957</v>
      </c>
      <c r="F15" s="108"/>
      <c r="G15" s="110">
        <f t="shared" si="3"/>
        <v>521470</v>
      </c>
      <c r="H15" s="110">
        <f t="shared" si="4"/>
        <v>46932</v>
      </c>
      <c r="I15" s="115">
        <f t="shared" si="5"/>
        <v>1042.94</v>
      </c>
      <c r="J15" s="116">
        <f t="shared" si="6"/>
        <v>328.53</v>
      </c>
      <c r="K15" s="117">
        <f t="shared" si="7"/>
        <v>18.77</v>
      </c>
      <c r="L15" s="118">
        <v>60</v>
      </c>
      <c r="M15" s="118">
        <f t="shared" si="8"/>
        <v>1450.24</v>
      </c>
      <c r="N15" s="41">
        <f t="shared" si="9"/>
        <v>1042.94</v>
      </c>
      <c r="O15" s="117">
        <f t="shared" si="10"/>
        <v>148.99</v>
      </c>
      <c r="P15" s="117">
        <f t="shared" si="11"/>
        <v>297.98</v>
      </c>
      <c r="Q15" s="117">
        <f t="shared" si="12"/>
        <v>595.97</v>
      </c>
    </row>
    <row r="16" s="4" customFormat="1" ht="18" customHeight="1" spans="1:17">
      <c r="A16" s="22">
        <v>440800</v>
      </c>
      <c r="B16" s="22" t="s">
        <v>75</v>
      </c>
      <c r="C16" s="107"/>
      <c r="D16" s="23" t="s">
        <v>76</v>
      </c>
      <c r="E16" s="108">
        <f t="shared" ref="E16:Q16" si="13">SUM(E17:E20)</f>
        <v>1239089</v>
      </c>
      <c r="F16" s="108">
        <f t="shared" si="13"/>
        <v>0</v>
      </c>
      <c r="G16" s="108">
        <f t="shared" si="13"/>
        <v>867362</v>
      </c>
      <c r="H16" s="108">
        <f t="shared" si="13"/>
        <v>78063</v>
      </c>
      <c r="I16" s="114">
        <f t="shared" si="13"/>
        <v>1734.72</v>
      </c>
      <c r="J16" s="107">
        <f t="shared" si="13"/>
        <v>546.45</v>
      </c>
      <c r="K16" s="114">
        <f t="shared" si="13"/>
        <v>31.23</v>
      </c>
      <c r="L16" s="114">
        <f t="shared" si="13"/>
        <v>240</v>
      </c>
      <c r="M16" s="114">
        <f t="shared" si="13"/>
        <v>2552.4</v>
      </c>
      <c r="N16" s="114">
        <f t="shared" si="13"/>
        <v>1734.72</v>
      </c>
      <c r="O16" s="114">
        <f t="shared" si="13"/>
        <v>247.81</v>
      </c>
      <c r="P16" s="114">
        <f t="shared" si="13"/>
        <v>495.64</v>
      </c>
      <c r="Q16" s="114">
        <f t="shared" si="13"/>
        <v>991.27</v>
      </c>
    </row>
    <row r="17" s="4" customFormat="1" ht="18" customHeight="1" spans="1:17">
      <c r="A17" s="22"/>
      <c r="B17" s="22"/>
      <c r="C17" s="109" t="s">
        <v>161</v>
      </c>
      <c r="D17" s="45" t="s">
        <v>171</v>
      </c>
      <c r="E17" s="46">
        <v>275596</v>
      </c>
      <c r="F17" s="108"/>
      <c r="G17" s="110">
        <f>ROUND(E17*0.7-F17,0)</f>
        <v>192917</v>
      </c>
      <c r="H17" s="110">
        <f>ROUND(G17*0.09,0)</f>
        <v>17363</v>
      </c>
      <c r="I17" s="115">
        <f>ROUND(G17*20/10000,2)</f>
        <v>385.83</v>
      </c>
      <c r="J17" s="116">
        <f>ROUND(G17*0.5*0.6*21/10000,2)</f>
        <v>121.54</v>
      </c>
      <c r="K17" s="117">
        <f>ROUND((H17+F17)*0.4*10/10000,2)</f>
        <v>6.95</v>
      </c>
      <c r="L17" s="118">
        <v>60</v>
      </c>
      <c r="M17" s="118">
        <f>SUM(I17:L17)</f>
        <v>574.32</v>
      </c>
      <c r="N17" s="41">
        <f>I17</f>
        <v>385.83</v>
      </c>
      <c r="O17" s="117">
        <f>ROUND((E17-F17/0.7)*0.1*0.002,2)</f>
        <v>55.12</v>
      </c>
      <c r="P17" s="117">
        <f>ROUND((E17-F17/0.7)*0.2*0.002,2)</f>
        <v>110.24</v>
      </c>
      <c r="Q17" s="117">
        <f>N17-O17-P17</f>
        <v>220.47</v>
      </c>
    </row>
    <row r="18" s="4" customFormat="1" ht="18" customHeight="1" spans="1:17">
      <c r="A18" s="22"/>
      <c r="B18" s="22"/>
      <c r="C18" s="109" t="s">
        <v>161</v>
      </c>
      <c r="D18" s="45" t="s">
        <v>172</v>
      </c>
      <c r="E18" s="46">
        <v>431264</v>
      </c>
      <c r="F18" s="108"/>
      <c r="G18" s="110">
        <f>ROUND(E18*0.7-F18,0)</f>
        <v>301885</v>
      </c>
      <c r="H18" s="110">
        <f>ROUND(G18*0.09,0)</f>
        <v>27170</v>
      </c>
      <c r="I18" s="115">
        <f>ROUND(G18*20/10000,2)</f>
        <v>603.77</v>
      </c>
      <c r="J18" s="116">
        <f>ROUND(G18*0.5*0.6*21/10000,2)</f>
        <v>190.19</v>
      </c>
      <c r="K18" s="117">
        <f>ROUND((H18+F18)*0.4*10/10000,2)</f>
        <v>10.87</v>
      </c>
      <c r="L18" s="118">
        <v>60</v>
      </c>
      <c r="M18" s="118">
        <f>SUM(I18:L18)</f>
        <v>864.83</v>
      </c>
      <c r="N18" s="41">
        <f>I18</f>
        <v>603.77</v>
      </c>
      <c r="O18" s="117">
        <f>ROUND((E18-F18/0.7)*0.1*0.002,2)</f>
        <v>86.25</v>
      </c>
      <c r="P18" s="117">
        <f>ROUND((E18-F18/0.7)*0.2*0.002,2)</f>
        <v>172.51</v>
      </c>
      <c r="Q18" s="117">
        <f>N18-O18-P18</f>
        <v>345.01</v>
      </c>
    </row>
    <row r="19" s="4" customFormat="1" ht="18" customHeight="1" spans="1:17">
      <c r="A19" s="22"/>
      <c r="B19" s="22"/>
      <c r="C19" s="109" t="s">
        <v>161</v>
      </c>
      <c r="D19" s="45" t="s">
        <v>173</v>
      </c>
      <c r="E19" s="46">
        <v>212622</v>
      </c>
      <c r="F19" s="108"/>
      <c r="G19" s="110">
        <f>ROUND(E19*0.7-F19,0)</f>
        <v>148835</v>
      </c>
      <c r="H19" s="110">
        <f>ROUND(G19*0.09,0)</f>
        <v>13395</v>
      </c>
      <c r="I19" s="115">
        <f>ROUND(G19*20/10000,2)</f>
        <v>297.67</v>
      </c>
      <c r="J19" s="116">
        <f>ROUND(G19*0.5*0.6*21/10000,2)</f>
        <v>93.77</v>
      </c>
      <c r="K19" s="117">
        <f>ROUND((H19+F19)*0.4*10/10000,2)</f>
        <v>5.36</v>
      </c>
      <c r="L19" s="118">
        <v>60</v>
      </c>
      <c r="M19" s="118">
        <f>SUM(I19:L19)</f>
        <v>456.8</v>
      </c>
      <c r="N19" s="41">
        <f>I19</f>
        <v>297.67</v>
      </c>
      <c r="O19" s="117">
        <f>ROUND((E19-F19/0.7)*0.1*0.002,2)</f>
        <v>42.52</v>
      </c>
      <c r="P19" s="117">
        <f>ROUND((E19-F19/0.7)*0.2*0.002,2)</f>
        <v>85.05</v>
      </c>
      <c r="Q19" s="117">
        <f>N19-O19-P19</f>
        <v>170.1</v>
      </c>
    </row>
    <row r="20" s="4" customFormat="1" ht="18" customHeight="1" spans="1:17">
      <c r="A20" s="22"/>
      <c r="B20" s="22"/>
      <c r="C20" s="109" t="s">
        <v>161</v>
      </c>
      <c r="D20" s="45" t="s">
        <v>174</v>
      </c>
      <c r="E20" s="46">
        <v>319607</v>
      </c>
      <c r="F20" s="108"/>
      <c r="G20" s="110">
        <f>ROUND(E20*0.7-F20,0)</f>
        <v>223725</v>
      </c>
      <c r="H20" s="110">
        <f>ROUND(G20*0.09,0)</f>
        <v>20135</v>
      </c>
      <c r="I20" s="115">
        <f>ROUND(G20*20/10000,2)</f>
        <v>447.45</v>
      </c>
      <c r="J20" s="116">
        <f>ROUND(G20*0.5*0.6*21/10000,2)</f>
        <v>140.95</v>
      </c>
      <c r="K20" s="117">
        <f>ROUND((H20+F20)*0.4*10/10000,2)</f>
        <v>8.05</v>
      </c>
      <c r="L20" s="118">
        <v>60</v>
      </c>
      <c r="M20" s="118">
        <f>SUM(I20:L20)</f>
        <v>656.45</v>
      </c>
      <c r="N20" s="41">
        <f>I20</f>
        <v>447.45</v>
      </c>
      <c r="O20" s="117">
        <f>ROUND((E20-F20/0.7)*0.1*0.002,2)</f>
        <v>63.92</v>
      </c>
      <c r="P20" s="117">
        <f>ROUND((E20-F20/0.7)*0.2*0.002,2)</f>
        <v>127.84</v>
      </c>
      <c r="Q20" s="117">
        <f>N20-O20-P20</f>
        <v>255.69</v>
      </c>
    </row>
    <row r="21" s="4" customFormat="1" ht="18" customHeight="1" spans="1:17">
      <c r="A21" s="22">
        <v>440900</v>
      </c>
      <c r="B21" s="22" t="s">
        <v>82</v>
      </c>
      <c r="C21" s="107"/>
      <c r="D21" s="23" t="s">
        <v>83</v>
      </c>
      <c r="E21" s="108">
        <f t="shared" ref="E21:Q21" si="14">SUM(E22:E23)</f>
        <v>1544022</v>
      </c>
      <c r="F21" s="108">
        <f t="shared" si="14"/>
        <v>0</v>
      </c>
      <c r="G21" s="108">
        <f t="shared" si="14"/>
        <v>1080815</v>
      </c>
      <c r="H21" s="108">
        <f t="shared" si="14"/>
        <v>97274</v>
      </c>
      <c r="I21" s="114">
        <f t="shared" si="14"/>
        <v>2161.63</v>
      </c>
      <c r="J21" s="107">
        <f t="shared" si="14"/>
        <v>680.91</v>
      </c>
      <c r="K21" s="114">
        <f t="shared" si="14"/>
        <v>38.91</v>
      </c>
      <c r="L21" s="114">
        <f t="shared" si="14"/>
        <v>120</v>
      </c>
      <c r="M21" s="114">
        <f t="shared" si="14"/>
        <v>3001.45</v>
      </c>
      <c r="N21" s="114">
        <f t="shared" si="14"/>
        <v>2161.63</v>
      </c>
      <c r="O21" s="114">
        <f t="shared" si="14"/>
        <v>308.8</v>
      </c>
      <c r="P21" s="114">
        <f t="shared" si="14"/>
        <v>617.61</v>
      </c>
      <c r="Q21" s="114">
        <f t="shared" si="14"/>
        <v>1235.22</v>
      </c>
    </row>
    <row r="22" s="4" customFormat="1" ht="18" customHeight="1" spans="1:17">
      <c r="A22" s="22"/>
      <c r="B22" s="22"/>
      <c r="C22" s="109" t="s">
        <v>161</v>
      </c>
      <c r="D22" s="45" t="s">
        <v>175</v>
      </c>
      <c r="E22" s="46">
        <v>650822</v>
      </c>
      <c r="F22" s="108"/>
      <c r="G22" s="110">
        <f>ROUND(E22*0.7-F22,0)</f>
        <v>455575</v>
      </c>
      <c r="H22" s="110">
        <f>ROUND(G22*0.09,0)</f>
        <v>41002</v>
      </c>
      <c r="I22" s="115">
        <f>ROUND(G22*20/10000,2)</f>
        <v>911.15</v>
      </c>
      <c r="J22" s="116">
        <f>ROUND(G22*0.5*0.6*21/10000,2)</f>
        <v>287.01</v>
      </c>
      <c r="K22" s="117">
        <f>ROUND((H22+F22)*0.4*10/10000,2)</f>
        <v>16.4</v>
      </c>
      <c r="L22" s="118">
        <v>60</v>
      </c>
      <c r="M22" s="118">
        <f>SUM(I22:L22)</f>
        <v>1274.56</v>
      </c>
      <c r="N22" s="41">
        <f>I22</f>
        <v>911.15</v>
      </c>
      <c r="O22" s="117">
        <f>ROUND((E22-F22/0.7)*0.1*0.002,2)</f>
        <v>130.16</v>
      </c>
      <c r="P22" s="117">
        <f>ROUND((E22-F22/0.7)*0.2*0.002,2)</f>
        <v>260.33</v>
      </c>
      <c r="Q22" s="117">
        <f>N22-O22-P22</f>
        <v>520.66</v>
      </c>
    </row>
    <row r="23" s="4" customFormat="1" ht="18" customHeight="1" spans="1:17">
      <c r="A23" s="22"/>
      <c r="B23" s="22"/>
      <c r="C23" s="109" t="s">
        <v>161</v>
      </c>
      <c r="D23" s="45" t="s">
        <v>176</v>
      </c>
      <c r="E23" s="46">
        <v>893200</v>
      </c>
      <c r="F23" s="108"/>
      <c r="G23" s="110">
        <f>ROUND(E23*0.7-F23,0)</f>
        <v>625240</v>
      </c>
      <c r="H23" s="110">
        <f>ROUND(G23*0.09,0)</f>
        <v>56272</v>
      </c>
      <c r="I23" s="115">
        <f>ROUND(G23*20/10000,2)</f>
        <v>1250.48</v>
      </c>
      <c r="J23" s="116">
        <f>ROUND(G23*0.5*0.6*21/10000,2)</f>
        <v>393.9</v>
      </c>
      <c r="K23" s="117">
        <f>ROUND((H23+F23)*0.4*10/10000,2)</f>
        <v>22.51</v>
      </c>
      <c r="L23" s="118">
        <v>60</v>
      </c>
      <c r="M23" s="118">
        <f>SUM(I23:L23)</f>
        <v>1726.89</v>
      </c>
      <c r="N23" s="41">
        <f>I23</f>
        <v>1250.48</v>
      </c>
      <c r="O23" s="117">
        <f>ROUND((E23-F23/0.7)*0.1*0.002,2)</f>
        <v>178.64</v>
      </c>
      <c r="P23" s="117">
        <f>ROUND((E23-F23/0.7)*0.2*0.002,2)</f>
        <v>357.28</v>
      </c>
      <c r="Q23" s="117">
        <f>N23-O23-P23</f>
        <v>714.56</v>
      </c>
    </row>
    <row r="24" s="4" customFormat="1" ht="18" customHeight="1" spans="1:17">
      <c r="A24" s="22">
        <v>441400</v>
      </c>
      <c r="B24" s="22" t="s">
        <v>99</v>
      </c>
      <c r="C24" s="107"/>
      <c r="D24" s="23" t="s">
        <v>100</v>
      </c>
      <c r="E24" s="108">
        <f t="shared" ref="E24:Q24" si="15">SUM(E25:E26)</f>
        <v>660903</v>
      </c>
      <c r="F24" s="108">
        <f t="shared" si="15"/>
        <v>0</v>
      </c>
      <c r="G24" s="108">
        <f t="shared" si="15"/>
        <v>462633</v>
      </c>
      <c r="H24" s="108">
        <f t="shared" si="15"/>
        <v>41637</v>
      </c>
      <c r="I24" s="114">
        <f t="shared" si="15"/>
        <v>925.27</v>
      </c>
      <c r="J24" s="107">
        <f t="shared" si="15"/>
        <v>291.46</v>
      </c>
      <c r="K24" s="114">
        <f t="shared" si="15"/>
        <v>16.66</v>
      </c>
      <c r="L24" s="114">
        <f t="shared" si="15"/>
        <v>120</v>
      </c>
      <c r="M24" s="114">
        <f t="shared" si="15"/>
        <v>1353.39</v>
      </c>
      <c r="N24" s="114">
        <f t="shared" si="15"/>
        <v>925.27</v>
      </c>
      <c r="O24" s="114">
        <f t="shared" si="15"/>
        <v>132.18</v>
      </c>
      <c r="P24" s="114">
        <f t="shared" si="15"/>
        <v>264.36</v>
      </c>
      <c r="Q24" s="114">
        <f t="shared" si="15"/>
        <v>528.73</v>
      </c>
    </row>
    <row r="25" s="4" customFormat="1" ht="18" customHeight="1" spans="1:17">
      <c r="A25" s="22"/>
      <c r="B25" s="22"/>
      <c r="C25" s="109" t="s">
        <v>161</v>
      </c>
      <c r="D25" s="45" t="s">
        <v>177</v>
      </c>
      <c r="E25" s="46">
        <v>290798</v>
      </c>
      <c r="F25" s="108"/>
      <c r="G25" s="110">
        <f>ROUND(E25*0.7-F25,0)</f>
        <v>203559</v>
      </c>
      <c r="H25" s="110">
        <f>ROUND(G25*0.09,0)</f>
        <v>18320</v>
      </c>
      <c r="I25" s="115">
        <f>ROUND(G25*20/10000,2)</f>
        <v>407.12</v>
      </c>
      <c r="J25" s="116">
        <f>ROUND(G25*0.5*0.6*21/10000,2)</f>
        <v>128.24</v>
      </c>
      <c r="K25" s="117">
        <f>ROUND((H25+F25)*0.4*10/10000,2)</f>
        <v>7.33</v>
      </c>
      <c r="L25" s="118">
        <v>60</v>
      </c>
      <c r="M25" s="118">
        <f>SUM(I25:L25)</f>
        <v>602.69</v>
      </c>
      <c r="N25" s="41">
        <f>I25</f>
        <v>407.12</v>
      </c>
      <c r="O25" s="117">
        <f>ROUND((E25-F25/0.7)*0.1*0.002,2)</f>
        <v>58.16</v>
      </c>
      <c r="P25" s="117">
        <f>ROUND((E25-F25/0.7)*0.2*0.002,2)</f>
        <v>116.32</v>
      </c>
      <c r="Q25" s="117">
        <f>N25-O25-P25</f>
        <v>232.64</v>
      </c>
    </row>
    <row r="26" s="4" customFormat="1" ht="18" customHeight="1" spans="1:17">
      <c r="A26" s="22"/>
      <c r="B26" s="22"/>
      <c r="C26" s="109" t="s">
        <v>161</v>
      </c>
      <c r="D26" s="45" t="s">
        <v>178</v>
      </c>
      <c r="E26" s="46">
        <v>370105</v>
      </c>
      <c r="F26" s="108"/>
      <c r="G26" s="110">
        <f>ROUND(E26*0.7-F26,0)</f>
        <v>259074</v>
      </c>
      <c r="H26" s="110">
        <f>ROUND(G26*0.09,0)</f>
        <v>23317</v>
      </c>
      <c r="I26" s="115">
        <f>ROUND(G26*20/10000,2)</f>
        <v>518.15</v>
      </c>
      <c r="J26" s="116">
        <f>ROUND(G26*0.5*0.6*21/10000,2)</f>
        <v>163.22</v>
      </c>
      <c r="K26" s="117">
        <f>ROUND((H26+F26)*0.4*10/10000,2)</f>
        <v>9.33</v>
      </c>
      <c r="L26" s="118">
        <v>60</v>
      </c>
      <c r="M26" s="118">
        <f>SUM(I26:L26)</f>
        <v>750.7</v>
      </c>
      <c r="N26" s="41">
        <f>I26</f>
        <v>518.15</v>
      </c>
      <c r="O26" s="117">
        <f>ROUND((E26-F26/0.7)*0.1*0.002,2)</f>
        <v>74.02</v>
      </c>
      <c r="P26" s="117">
        <f>ROUND((E26-F26/0.7)*0.2*0.002,2)</f>
        <v>148.04</v>
      </c>
      <c r="Q26" s="117">
        <f>N26-O26-P26</f>
        <v>296.09</v>
      </c>
    </row>
    <row r="27" s="4" customFormat="1" ht="18" customHeight="1" spans="1:17">
      <c r="A27" s="22">
        <v>441500</v>
      </c>
      <c r="B27" s="22" t="s">
        <v>107</v>
      </c>
      <c r="C27" s="107"/>
      <c r="D27" s="23" t="s">
        <v>108</v>
      </c>
      <c r="E27" s="108">
        <f t="shared" ref="E27:Q27" si="16">SUM(E28:E28)</f>
        <v>300172</v>
      </c>
      <c r="F27" s="108">
        <f t="shared" si="16"/>
        <v>0</v>
      </c>
      <c r="G27" s="108">
        <f t="shared" si="16"/>
        <v>210120</v>
      </c>
      <c r="H27" s="108">
        <f t="shared" si="16"/>
        <v>18911</v>
      </c>
      <c r="I27" s="114">
        <f t="shared" si="16"/>
        <v>420.24</v>
      </c>
      <c r="J27" s="107">
        <f t="shared" si="16"/>
        <v>132.38</v>
      </c>
      <c r="K27" s="114">
        <f t="shared" si="16"/>
        <v>7.56</v>
      </c>
      <c r="L27" s="114">
        <f t="shared" si="16"/>
        <v>60</v>
      </c>
      <c r="M27" s="114">
        <f t="shared" si="16"/>
        <v>620.18</v>
      </c>
      <c r="N27" s="114">
        <f t="shared" si="16"/>
        <v>420.24</v>
      </c>
      <c r="O27" s="114">
        <f t="shared" si="16"/>
        <v>60.03</v>
      </c>
      <c r="P27" s="114">
        <f t="shared" si="16"/>
        <v>120.07</v>
      </c>
      <c r="Q27" s="114">
        <f t="shared" si="16"/>
        <v>240.14</v>
      </c>
    </row>
    <row r="28" s="4" customFormat="1" ht="18" customHeight="1" spans="1:17">
      <c r="A28" s="22"/>
      <c r="B28" s="22"/>
      <c r="C28" s="109" t="s">
        <v>161</v>
      </c>
      <c r="D28" s="45" t="s">
        <v>179</v>
      </c>
      <c r="E28" s="46">
        <v>300172</v>
      </c>
      <c r="F28" s="108"/>
      <c r="G28" s="110">
        <f>ROUND(E28*0.7-F28,0)</f>
        <v>210120</v>
      </c>
      <c r="H28" s="110">
        <f>ROUND(G28*0.09,0)</f>
        <v>18911</v>
      </c>
      <c r="I28" s="115">
        <f>ROUND(G28*20/10000,2)</f>
        <v>420.24</v>
      </c>
      <c r="J28" s="116">
        <f>ROUND(G28*0.5*0.6*21/10000,2)</f>
        <v>132.38</v>
      </c>
      <c r="K28" s="117">
        <f>ROUND((H28+F28)*0.4*10/10000,2)</f>
        <v>7.56</v>
      </c>
      <c r="L28" s="118">
        <v>60</v>
      </c>
      <c r="M28" s="118">
        <f>SUM(I28:L28)</f>
        <v>620.18</v>
      </c>
      <c r="N28" s="41">
        <f>I28</f>
        <v>420.24</v>
      </c>
      <c r="O28" s="117">
        <f>ROUND((E28-F28/0.7)*0.1*0.002,2)</f>
        <v>60.03</v>
      </c>
      <c r="P28" s="117">
        <f>ROUND((E28-F28/0.7)*0.2*0.002,2)</f>
        <v>120.07</v>
      </c>
      <c r="Q28" s="117">
        <f>N28-O28-P28</f>
        <v>240.14</v>
      </c>
    </row>
    <row r="29" s="4" customFormat="1" ht="18" customHeight="1" spans="1:17">
      <c r="A29" s="22">
        <v>441600</v>
      </c>
      <c r="B29" s="22" t="s">
        <v>112</v>
      </c>
      <c r="C29" s="107"/>
      <c r="D29" s="23" t="s">
        <v>113</v>
      </c>
      <c r="E29" s="108">
        <f t="shared" ref="E29:Q29" si="17">SUM(E30:E30)</f>
        <v>468130</v>
      </c>
      <c r="F29" s="108">
        <f t="shared" si="17"/>
        <v>0</v>
      </c>
      <c r="G29" s="108">
        <f t="shared" si="17"/>
        <v>327691</v>
      </c>
      <c r="H29" s="108">
        <f t="shared" si="17"/>
        <v>29492</v>
      </c>
      <c r="I29" s="114">
        <f t="shared" si="17"/>
        <v>655.38</v>
      </c>
      <c r="J29" s="107">
        <f t="shared" si="17"/>
        <v>206.45</v>
      </c>
      <c r="K29" s="114">
        <f t="shared" si="17"/>
        <v>11.8</v>
      </c>
      <c r="L29" s="114">
        <f t="shared" si="17"/>
        <v>60</v>
      </c>
      <c r="M29" s="114">
        <f t="shared" si="17"/>
        <v>933.63</v>
      </c>
      <c r="N29" s="114">
        <f t="shared" si="17"/>
        <v>655.38</v>
      </c>
      <c r="O29" s="114">
        <f t="shared" si="17"/>
        <v>93.63</v>
      </c>
      <c r="P29" s="114">
        <f t="shared" si="17"/>
        <v>187.25</v>
      </c>
      <c r="Q29" s="114">
        <f t="shared" si="17"/>
        <v>374.5</v>
      </c>
    </row>
    <row r="30" s="4" customFormat="1" ht="18" customHeight="1" spans="1:17">
      <c r="A30" s="22"/>
      <c r="B30" s="22"/>
      <c r="C30" s="109" t="s">
        <v>161</v>
      </c>
      <c r="D30" s="45" t="s">
        <v>180</v>
      </c>
      <c r="E30" s="46">
        <v>468130</v>
      </c>
      <c r="F30" s="108"/>
      <c r="G30" s="110">
        <f>ROUND(E30*0.7-F30,0)</f>
        <v>327691</v>
      </c>
      <c r="H30" s="110">
        <f>ROUND(G30*0.09,0)</f>
        <v>29492</v>
      </c>
      <c r="I30" s="115">
        <f>ROUND(G30*20/10000,2)</f>
        <v>655.38</v>
      </c>
      <c r="J30" s="116">
        <f>ROUND(G30*0.5*0.6*21/10000,2)</f>
        <v>206.45</v>
      </c>
      <c r="K30" s="117">
        <f>ROUND((H30+F30)*0.4*10/10000,2)</f>
        <v>11.8</v>
      </c>
      <c r="L30" s="118">
        <v>60</v>
      </c>
      <c r="M30" s="118">
        <f>SUM(I30:L30)</f>
        <v>933.63</v>
      </c>
      <c r="N30" s="41">
        <f>I30</f>
        <v>655.38</v>
      </c>
      <c r="O30" s="117">
        <f>ROUND((E30-F30/0.7)*0.1*0.002,2)</f>
        <v>93.63</v>
      </c>
      <c r="P30" s="117">
        <f>ROUND((E30-F30/0.7)*0.2*0.002,2)</f>
        <v>187.25</v>
      </c>
      <c r="Q30" s="117">
        <f>N30-O30-P30</f>
        <v>374.5</v>
      </c>
    </row>
    <row r="31" s="4" customFormat="1" ht="18" customHeight="1" spans="1:17">
      <c r="A31" s="22">
        <v>441700</v>
      </c>
      <c r="B31" s="22" t="s">
        <v>119</v>
      </c>
      <c r="C31" s="107"/>
      <c r="D31" s="23" t="s">
        <v>120</v>
      </c>
      <c r="E31" s="108">
        <f t="shared" ref="E31:Q31" si="18">SUM(E32:E33)</f>
        <v>873559</v>
      </c>
      <c r="F31" s="108">
        <f t="shared" si="18"/>
        <v>0</v>
      </c>
      <c r="G31" s="108">
        <f t="shared" si="18"/>
        <v>611492</v>
      </c>
      <c r="H31" s="108">
        <f t="shared" si="18"/>
        <v>55034</v>
      </c>
      <c r="I31" s="114">
        <f t="shared" si="18"/>
        <v>1222.98</v>
      </c>
      <c r="J31" s="107">
        <f t="shared" si="18"/>
        <v>385.24</v>
      </c>
      <c r="K31" s="114">
        <f t="shared" si="18"/>
        <v>22.02</v>
      </c>
      <c r="L31" s="114">
        <f t="shared" si="18"/>
        <v>120</v>
      </c>
      <c r="M31" s="114">
        <f t="shared" si="18"/>
        <v>1750.24</v>
      </c>
      <c r="N31" s="114">
        <f t="shared" si="18"/>
        <v>1222.98</v>
      </c>
      <c r="O31" s="114">
        <f t="shared" si="18"/>
        <v>174.71</v>
      </c>
      <c r="P31" s="114">
        <f t="shared" si="18"/>
        <v>349.42</v>
      </c>
      <c r="Q31" s="114">
        <f t="shared" si="18"/>
        <v>698.85</v>
      </c>
    </row>
    <row r="32" s="4" customFormat="1" ht="18" customHeight="1" spans="1:17">
      <c r="A32" s="22"/>
      <c r="B32" s="22"/>
      <c r="C32" s="109" t="s">
        <v>161</v>
      </c>
      <c r="D32" s="45" t="s">
        <v>181</v>
      </c>
      <c r="E32" s="46">
        <v>553451</v>
      </c>
      <c r="F32" s="108"/>
      <c r="G32" s="110">
        <f>ROUND(E32*0.7-F32,0)</f>
        <v>387416</v>
      </c>
      <c r="H32" s="110">
        <f>ROUND(G32*0.09,0)</f>
        <v>34867</v>
      </c>
      <c r="I32" s="115">
        <f>ROUND(G32*20/10000,2)</f>
        <v>774.83</v>
      </c>
      <c r="J32" s="116">
        <f>ROUND(G32*0.5*0.6*21/10000,2)</f>
        <v>244.07</v>
      </c>
      <c r="K32" s="117">
        <f>ROUND((H32+F32)*0.4*10/10000,2)</f>
        <v>13.95</v>
      </c>
      <c r="L32" s="118">
        <v>60</v>
      </c>
      <c r="M32" s="118">
        <f>SUM(I32:L32)</f>
        <v>1092.85</v>
      </c>
      <c r="N32" s="41">
        <f>I32</f>
        <v>774.83</v>
      </c>
      <c r="O32" s="117">
        <f>ROUND((E32-F32/0.7)*0.1*0.002,2)</f>
        <v>110.69</v>
      </c>
      <c r="P32" s="117">
        <f>ROUND((E32-F32/0.7)*0.2*0.002,2)</f>
        <v>221.38</v>
      </c>
      <c r="Q32" s="117">
        <f>N32-O32-P32</f>
        <v>442.76</v>
      </c>
    </row>
    <row r="33" s="4" customFormat="1" ht="18" customHeight="1" spans="1:17">
      <c r="A33" s="22"/>
      <c r="B33" s="22"/>
      <c r="C33" s="109" t="s">
        <v>161</v>
      </c>
      <c r="D33" s="45" t="s">
        <v>182</v>
      </c>
      <c r="E33" s="46">
        <v>320108</v>
      </c>
      <c r="F33" s="108"/>
      <c r="G33" s="110">
        <f>ROUND(E33*0.7-F33,0)</f>
        <v>224076</v>
      </c>
      <c r="H33" s="110">
        <f>ROUND(G33*0.09,0)</f>
        <v>20167</v>
      </c>
      <c r="I33" s="115">
        <f>ROUND(G33*20/10000,2)</f>
        <v>448.15</v>
      </c>
      <c r="J33" s="116">
        <f>ROUND(G33*0.5*0.6*21/10000,2)</f>
        <v>141.17</v>
      </c>
      <c r="K33" s="117">
        <f>ROUND((H33+F33)*0.4*10/10000,2)</f>
        <v>8.07</v>
      </c>
      <c r="L33" s="118">
        <v>60</v>
      </c>
      <c r="M33" s="118">
        <f>SUM(I33:L33)</f>
        <v>657.39</v>
      </c>
      <c r="N33" s="41">
        <f>I33</f>
        <v>448.15</v>
      </c>
      <c r="O33" s="117">
        <f>ROUND((E33-F33/0.7)*0.1*0.002,2)</f>
        <v>64.02</v>
      </c>
      <c r="P33" s="117">
        <f>ROUND((E33-F33/0.7)*0.2*0.002,2)</f>
        <v>128.04</v>
      </c>
      <c r="Q33" s="117">
        <f>N33-O33-P33</f>
        <v>256.09</v>
      </c>
    </row>
    <row r="34" s="4" customFormat="1" ht="18" customHeight="1" spans="1:17">
      <c r="A34" s="22"/>
      <c r="B34" s="22"/>
      <c r="C34" s="107"/>
      <c r="D34" s="23" t="s">
        <v>123</v>
      </c>
      <c r="E34" s="108">
        <f t="shared" ref="E34:Q34" si="19">SUM(E35:E36)</f>
        <v>1145022</v>
      </c>
      <c r="F34" s="108">
        <f t="shared" si="19"/>
        <v>0</v>
      </c>
      <c r="G34" s="108">
        <f t="shared" si="19"/>
        <v>801515</v>
      </c>
      <c r="H34" s="108">
        <f t="shared" si="19"/>
        <v>72137</v>
      </c>
      <c r="I34" s="114">
        <f t="shared" si="19"/>
        <v>1603.03</v>
      </c>
      <c r="J34" s="107">
        <f t="shared" si="19"/>
        <v>504.95</v>
      </c>
      <c r="K34" s="114">
        <f t="shared" si="19"/>
        <v>28.85</v>
      </c>
      <c r="L34" s="114">
        <f t="shared" si="19"/>
        <v>120</v>
      </c>
      <c r="M34" s="114">
        <f t="shared" si="19"/>
        <v>2256.83</v>
      </c>
      <c r="N34" s="114">
        <f t="shared" si="19"/>
        <v>1603.03</v>
      </c>
      <c r="O34" s="114">
        <f t="shared" si="19"/>
        <v>229</v>
      </c>
      <c r="P34" s="114">
        <f t="shared" si="19"/>
        <v>458.01</v>
      </c>
      <c r="Q34" s="114">
        <f t="shared" si="19"/>
        <v>916.02</v>
      </c>
    </row>
    <row r="35" s="4" customFormat="1" ht="18" customHeight="1" spans="1:17">
      <c r="A35" s="22"/>
      <c r="B35" s="22"/>
      <c r="C35" s="109" t="s">
        <v>161</v>
      </c>
      <c r="D35" s="49" t="s">
        <v>183</v>
      </c>
      <c r="E35" s="46">
        <v>744522</v>
      </c>
      <c r="F35" s="108"/>
      <c r="G35" s="110">
        <f>ROUND(E35*0.7-F35,0)</f>
        <v>521165</v>
      </c>
      <c r="H35" s="110">
        <f>ROUND(G35*0.09,0)</f>
        <v>46905</v>
      </c>
      <c r="I35" s="115">
        <f>ROUND(G35*20/10000,2)</f>
        <v>1042.33</v>
      </c>
      <c r="J35" s="116">
        <f>ROUND(G35*0.5*0.6*21/10000,2)</f>
        <v>328.33</v>
      </c>
      <c r="K35" s="117">
        <f>ROUND((H35+F35)*0.4*10/10000,2)</f>
        <v>18.76</v>
      </c>
      <c r="L35" s="118">
        <v>60</v>
      </c>
      <c r="M35" s="118">
        <f>SUM(I35:L35)</f>
        <v>1449.42</v>
      </c>
      <c r="N35" s="41">
        <f>I35</f>
        <v>1042.33</v>
      </c>
      <c r="O35" s="117">
        <f>ROUND((E35-F35/0.7)*0.1*0.002,2)</f>
        <v>148.9</v>
      </c>
      <c r="P35" s="117">
        <f>ROUND((E35-F35/0.7)*0.2*0.002,2)</f>
        <v>297.81</v>
      </c>
      <c r="Q35" s="117">
        <f>N35-O35-P35</f>
        <v>595.62</v>
      </c>
    </row>
    <row r="36" s="4" customFormat="1" ht="18" customHeight="1" spans="1:17">
      <c r="A36" s="22"/>
      <c r="B36" s="22"/>
      <c r="C36" s="109" t="s">
        <v>161</v>
      </c>
      <c r="D36" s="45" t="s">
        <v>184</v>
      </c>
      <c r="E36" s="46">
        <v>400500</v>
      </c>
      <c r="F36" s="108"/>
      <c r="G36" s="110">
        <f>ROUND(E36*0.7-F36,0)</f>
        <v>280350</v>
      </c>
      <c r="H36" s="110">
        <f>ROUND(G36*0.09,0)</f>
        <v>25232</v>
      </c>
      <c r="I36" s="115">
        <f>ROUND(G36*20/10000,2)</f>
        <v>560.7</v>
      </c>
      <c r="J36" s="116">
        <f>ROUND(G36*0.5*0.6*21/10000,2)</f>
        <v>176.62</v>
      </c>
      <c r="K36" s="117">
        <f>ROUND((H36+F36)*0.4*10/10000,2)</f>
        <v>10.09</v>
      </c>
      <c r="L36" s="118">
        <v>60</v>
      </c>
      <c r="M36" s="118">
        <f>SUM(I36:L36)</f>
        <v>807.41</v>
      </c>
      <c r="N36" s="41">
        <f>I36</f>
        <v>560.7</v>
      </c>
      <c r="O36" s="117">
        <f>ROUND((E36-F36/0.7)*0.1*0.002,2)</f>
        <v>80.1</v>
      </c>
      <c r="P36" s="117">
        <f>ROUND((E36-F36/0.7)*0.2*0.002,2)</f>
        <v>160.2</v>
      </c>
      <c r="Q36" s="117">
        <f>N36-O36-P36</f>
        <v>320.4</v>
      </c>
    </row>
    <row r="37" s="4" customFormat="1" ht="18" customHeight="1" spans="1:17">
      <c r="A37" s="22">
        <v>445100</v>
      </c>
      <c r="B37" s="22" t="s">
        <v>131</v>
      </c>
      <c r="C37" s="107"/>
      <c r="D37" s="23" t="s">
        <v>132</v>
      </c>
      <c r="E37" s="108">
        <f t="shared" ref="E37:Q37" si="20">SUM(E38:E39)</f>
        <v>1216598</v>
      </c>
      <c r="F37" s="108">
        <f t="shared" si="20"/>
        <v>0</v>
      </c>
      <c r="G37" s="108">
        <f t="shared" si="20"/>
        <v>851619</v>
      </c>
      <c r="H37" s="108">
        <f t="shared" si="20"/>
        <v>76646</v>
      </c>
      <c r="I37" s="114">
        <f t="shared" si="20"/>
        <v>1703.23</v>
      </c>
      <c r="J37" s="107">
        <f t="shared" si="20"/>
        <v>536.52</v>
      </c>
      <c r="K37" s="114">
        <f t="shared" si="20"/>
        <v>30.66</v>
      </c>
      <c r="L37" s="114">
        <f t="shared" si="20"/>
        <v>120</v>
      </c>
      <c r="M37" s="114">
        <f t="shared" si="20"/>
        <v>2390.41</v>
      </c>
      <c r="N37" s="114">
        <f t="shared" si="20"/>
        <v>1703.23</v>
      </c>
      <c r="O37" s="114">
        <f t="shared" si="20"/>
        <v>243.32</v>
      </c>
      <c r="P37" s="114">
        <f t="shared" si="20"/>
        <v>486.64</v>
      </c>
      <c r="Q37" s="114">
        <f t="shared" si="20"/>
        <v>973.27</v>
      </c>
    </row>
    <row r="38" s="4" customFormat="1" ht="18" customHeight="1" spans="1:17">
      <c r="A38" s="22"/>
      <c r="B38" s="22"/>
      <c r="C38" s="109" t="s">
        <v>161</v>
      </c>
      <c r="D38" s="45" t="s">
        <v>185</v>
      </c>
      <c r="E38" s="46">
        <v>401060</v>
      </c>
      <c r="F38" s="108"/>
      <c r="G38" s="110">
        <f>ROUND(E38*0.7-F38,0)</f>
        <v>280742</v>
      </c>
      <c r="H38" s="110">
        <f>ROUND(G38*0.09,0)</f>
        <v>25267</v>
      </c>
      <c r="I38" s="115">
        <f>ROUND(G38*20/10000,2)</f>
        <v>561.48</v>
      </c>
      <c r="J38" s="116">
        <f>ROUND(G38*0.5*0.6*21/10000,2)</f>
        <v>176.87</v>
      </c>
      <c r="K38" s="117">
        <f>ROUND((H38+F38)*0.4*10/10000,2)</f>
        <v>10.11</v>
      </c>
      <c r="L38" s="118">
        <v>60</v>
      </c>
      <c r="M38" s="118">
        <f>SUM(I38:L38)</f>
        <v>808.46</v>
      </c>
      <c r="N38" s="41">
        <f>I38</f>
        <v>561.48</v>
      </c>
      <c r="O38" s="117">
        <f>ROUND((E38-F38/0.7)*0.1*0.002,2)</f>
        <v>80.21</v>
      </c>
      <c r="P38" s="117">
        <f>ROUND((E38-F38/0.7)*0.2*0.002,2)</f>
        <v>160.42</v>
      </c>
      <c r="Q38" s="117">
        <f>N38-O38-P38</f>
        <v>320.85</v>
      </c>
    </row>
    <row r="39" s="4" customFormat="1" ht="18" customHeight="1" spans="1:17">
      <c r="A39" s="22"/>
      <c r="B39" s="22"/>
      <c r="C39" s="109" t="s">
        <v>161</v>
      </c>
      <c r="D39" s="45" t="s">
        <v>186</v>
      </c>
      <c r="E39" s="46">
        <v>815538</v>
      </c>
      <c r="F39" s="108"/>
      <c r="G39" s="110">
        <f>ROUND(E39*0.7-F39,0)</f>
        <v>570877</v>
      </c>
      <c r="H39" s="110">
        <f>ROUND(G39*0.09,0)</f>
        <v>51379</v>
      </c>
      <c r="I39" s="115">
        <f>ROUND(G39*20/10000,2)</f>
        <v>1141.75</v>
      </c>
      <c r="J39" s="116">
        <f>ROUND(G39*0.5*0.6*21/10000,2)</f>
        <v>359.65</v>
      </c>
      <c r="K39" s="117">
        <f>ROUND((H39+F39)*0.4*10/10000,2)</f>
        <v>20.55</v>
      </c>
      <c r="L39" s="118">
        <v>60</v>
      </c>
      <c r="M39" s="118">
        <f>SUM(I39:L39)</f>
        <v>1581.95</v>
      </c>
      <c r="N39" s="41">
        <f>I39</f>
        <v>1141.75</v>
      </c>
      <c r="O39" s="117">
        <f>ROUND((E39-F39/0.7)*0.1*0.002,2)</f>
        <v>163.11</v>
      </c>
      <c r="P39" s="117">
        <f>ROUND((E39-F39/0.7)*0.2*0.002,2)</f>
        <v>326.22</v>
      </c>
      <c r="Q39" s="117">
        <f>N39-O39-P39</f>
        <v>652.42</v>
      </c>
    </row>
    <row r="40" s="4" customFormat="1" ht="18" customHeight="1" spans="1:17">
      <c r="A40" s="22">
        <v>445200</v>
      </c>
      <c r="B40" s="22" t="s">
        <v>134</v>
      </c>
      <c r="C40" s="107"/>
      <c r="D40" s="23" t="s">
        <v>135</v>
      </c>
      <c r="E40" s="108">
        <f t="shared" ref="E40:Q40" si="21">SUM(E41:E42)</f>
        <v>1228052</v>
      </c>
      <c r="F40" s="108">
        <f t="shared" si="21"/>
        <v>0</v>
      </c>
      <c r="G40" s="108">
        <f t="shared" si="21"/>
        <v>859637</v>
      </c>
      <c r="H40" s="108">
        <f t="shared" si="21"/>
        <v>77367</v>
      </c>
      <c r="I40" s="114">
        <f t="shared" si="21"/>
        <v>1719.28</v>
      </c>
      <c r="J40" s="107">
        <f t="shared" si="21"/>
        <v>541.57</v>
      </c>
      <c r="K40" s="114">
        <f t="shared" si="21"/>
        <v>30.95</v>
      </c>
      <c r="L40" s="114">
        <f t="shared" si="21"/>
        <v>120</v>
      </c>
      <c r="M40" s="114">
        <f t="shared" si="21"/>
        <v>2411.8</v>
      </c>
      <c r="N40" s="114">
        <f t="shared" si="21"/>
        <v>1719.28</v>
      </c>
      <c r="O40" s="114">
        <f t="shared" si="21"/>
        <v>245.61</v>
      </c>
      <c r="P40" s="114">
        <f t="shared" si="21"/>
        <v>491.22</v>
      </c>
      <c r="Q40" s="114">
        <f t="shared" si="21"/>
        <v>982.45</v>
      </c>
    </row>
    <row r="41" s="4" customFormat="1" ht="18" customHeight="1" spans="1:17">
      <c r="A41" s="22"/>
      <c r="B41" s="22"/>
      <c r="C41" s="109" t="s">
        <v>161</v>
      </c>
      <c r="D41" s="45" t="s">
        <v>187</v>
      </c>
      <c r="E41" s="46">
        <v>626061</v>
      </c>
      <c r="F41" s="108"/>
      <c r="G41" s="110">
        <f>ROUND(E41*0.7-F41,0)</f>
        <v>438243</v>
      </c>
      <c r="H41" s="110">
        <f>ROUND(G41*0.09,0)</f>
        <v>39442</v>
      </c>
      <c r="I41" s="115">
        <f>ROUND(G41*20/10000,2)</f>
        <v>876.49</v>
      </c>
      <c r="J41" s="116">
        <f>ROUND(G41*0.5*0.6*21/10000,2)</f>
        <v>276.09</v>
      </c>
      <c r="K41" s="117">
        <f>ROUND((H41+F41)*0.4*10/10000,2)</f>
        <v>15.78</v>
      </c>
      <c r="L41" s="118">
        <v>60</v>
      </c>
      <c r="M41" s="118">
        <f>SUM(I41:L41)</f>
        <v>1228.36</v>
      </c>
      <c r="N41" s="41">
        <f>I41</f>
        <v>876.49</v>
      </c>
      <c r="O41" s="117">
        <f>ROUND((E41-F41/0.7)*0.1*0.002,2)</f>
        <v>125.21</v>
      </c>
      <c r="P41" s="117">
        <f>ROUND((E41-F41/0.7)*0.2*0.002,2)</f>
        <v>250.42</v>
      </c>
      <c r="Q41" s="117">
        <f>N41-O41-P41</f>
        <v>500.86</v>
      </c>
    </row>
    <row r="42" s="4" customFormat="1" ht="18" customHeight="1" spans="1:17">
      <c r="A42" s="22"/>
      <c r="B42" s="22"/>
      <c r="C42" s="109" t="s">
        <v>161</v>
      </c>
      <c r="D42" s="45" t="s">
        <v>188</v>
      </c>
      <c r="E42" s="46">
        <v>601991</v>
      </c>
      <c r="F42" s="108"/>
      <c r="G42" s="110">
        <f>ROUND(E42*0.7-F42,0)</f>
        <v>421394</v>
      </c>
      <c r="H42" s="110">
        <f>ROUND(G42*0.09,0)</f>
        <v>37925</v>
      </c>
      <c r="I42" s="115">
        <f>ROUND(G42*20/10000,2)</f>
        <v>842.79</v>
      </c>
      <c r="J42" s="116">
        <f>ROUND(G42*0.5*0.6*21/10000,2)</f>
        <v>265.48</v>
      </c>
      <c r="K42" s="117">
        <f>ROUND((H42+F42)*0.4*10/10000,2)</f>
        <v>15.17</v>
      </c>
      <c r="L42" s="118">
        <v>60</v>
      </c>
      <c r="M42" s="118">
        <f>SUM(I42:L42)</f>
        <v>1183.44</v>
      </c>
      <c r="N42" s="41">
        <f>I42</f>
        <v>842.79</v>
      </c>
      <c r="O42" s="117">
        <f>ROUND((E42-F42/0.7)*0.1*0.002,2)</f>
        <v>120.4</v>
      </c>
      <c r="P42" s="117">
        <f>ROUND((E42-F42/0.7)*0.2*0.002,2)</f>
        <v>240.8</v>
      </c>
      <c r="Q42" s="117">
        <f>N42-O42-P42</f>
        <v>481.59</v>
      </c>
    </row>
    <row r="43" s="4" customFormat="1" ht="18" customHeight="1" spans="1:17">
      <c r="A43" s="22">
        <v>445300</v>
      </c>
      <c r="B43" s="22" t="s">
        <v>139</v>
      </c>
      <c r="C43" s="107"/>
      <c r="D43" s="23" t="s">
        <v>140</v>
      </c>
      <c r="E43" s="108">
        <f t="shared" ref="E43:Q43" si="22">SUM(E44:E45)</f>
        <v>411757</v>
      </c>
      <c r="F43" s="108">
        <f t="shared" si="22"/>
        <v>0</v>
      </c>
      <c r="G43" s="108">
        <f t="shared" si="22"/>
        <v>288230</v>
      </c>
      <c r="H43" s="108">
        <f t="shared" si="22"/>
        <v>25941</v>
      </c>
      <c r="I43" s="114">
        <f t="shared" si="22"/>
        <v>576.46</v>
      </c>
      <c r="J43" s="107">
        <f t="shared" si="22"/>
        <v>181.59</v>
      </c>
      <c r="K43" s="114">
        <f t="shared" si="22"/>
        <v>10.38</v>
      </c>
      <c r="L43" s="114">
        <f t="shared" si="22"/>
        <v>120</v>
      </c>
      <c r="M43" s="114">
        <f t="shared" si="22"/>
        <v>888.43</v>
      </c>
      <c r="N43" s="114">
        <f t="shared" si="22"/>
        <v>576.46</v>
      </c>
      <c r="O43" s="114">
        <f t="shared" si="22"/>
        <v>82.35</v>
      </c>
      <c r="P43" s="114">
        <f t="shared" si="22"/>
        <v>164.71</v>
      </c>
      <c r="Q43" s="114">
        <f t="shared" si="22"/>
        <v>329.4</v>
      </c>
    </row>
    <row r="44" s="4" customFormat="1" ht="18" customHeight="1" spans="1:17">
      <c r="A44" s="22"/>
      <c r="B44" s="22"/>
      <c r="C44" s="109" t="s">
        <v>161</v>
      </c>
      <c r="D44" s="45" t="s">
        <v>189</v>
      </c>
      <c r="E44" s="46">
        <v>267092</v>
      </c>
      <c r="F44" s="108"/>
      <c r="G44" s="110">
        <f>ROUND(E44*0.7-F44,0)</f>
        <v>186964</v>
      </c>
      <c r="H44" s="110">
        <f>ROUND(G44*0.09,0)</f>
        <v>16827</v>
      </c>
      <c r="I44" s="115">
        <f>ROUND(G44*20/10000,2)</f>
        <v>373.93</v>
      </c>
      <c r="J44" s="116">
        <f>ROUND(G44*0.5*0.6*21/10000,2)</f>
        <v>117.79</v>
      </c>
      <c r="K44" s="117">
        <f>ROUND((H44+F44)*0.4*10/10000,2)</f>
        <v>6.73</v>
      </c>
      <c r="L44" s="118">
        <v>60</v>
      </c>
      <c r="M44" s="118">
        <f>SUM(I44:L44)</f>
        <v>558.45</v>
      </c>
      <c r="N44" s="41">
        <f>I44</f>
        <v>373.93</v>
      </c>
      <c r="O44" s="117">
        <f>ROUND((E44-F44/0.7)*0.1*0.002,2)</f>
        <v>53.42</v>
      </c>
      <c r="P44" s="117">
        <f>ROUND((E44-F44/0.7)*0.2*0.002,2)</f>
        <v>106.84</v>
      </c>
      <c r="Q44" s="117">
        <f>N44-O44-P44</f>
        <v>213.67</v>
      </c>
    </row>
    <row r="45" s="4" customFormat="1" ht="18" customHeight="1" spans="1:17">
      <c r="A45" s="22"/>
      <c r="B45" s="22"/>
      <c r="C45" s="109" t="s">
        <v>161</v>
      </c>
      <c r="D45" s="45" t="s">
        <v>190</v>
      </c>
      <c r="E45" s="46">
        <v>144665</v>
      </c>
      <c r="F45" s="108"/>
      <c r="G45" s="110">
        <f>ROUND(E45*0.7-F45,0)</f>
        <v>101266</v>
      </c>
      <c r="H45" s="110">
        <f>ROUND(G45*0.09,0)</f>
        <v>9114</v>
      </c>
      <c r="I45" s="115">
        <f>ROUND(G45*20/10000,2)</f>
        <v>202.53</v>
      </c>
      <c r="J45" s="116">
        <f>ROUND(G45*0.5*0.6*21/10000,2)</f>
        <v>63.8</v>
      </c>
      <c r="K45" s="117">
        <f>ROUND((H45+F45)*0.4*10/10000,2)</f>
        <v>3.65</v>
      </c>
      <c r="L45" s="118">
        <v>60</v>
      </c>
      <c r="M45" s="118">
        <f>SUM(I45:L45)</f>
        <v>329.98</v>
      </c>
      <c r="N45" s="41">
        <f>I45</f>
        <v>202.53</v>
      </c>
      <c r="O45" s="117">
        <f>ROUND((E45-F45/0.7)*0.1*0.002,2)</f>
        <v>28.93</v>
      </c>
      <c r="P45" s="117">
        <f>ROUND((E45-F45/0.7)*0.2*0.002,2)</f>
        <v>57.87</v>
      </c>
      <c r="Q45" s="117">
        <f>N45-O45-P45</f>
        <v>115.73</v>
      </c>
    </row>
    <row r="46" s="1" customFormat="1" spans="3:14">
      <c r="C46" s="104"/>
      <c r="E46" s="76"/>
      <c r="F46" s="76"/>
      <c r="G46" s="76"/>
      <c r="H46" s="76"/>
      <c r="I46" s="104"/>
      <c r="J46" s="104"/>
      <c r="K46" s="104"/>
      <c r="L46" s="104"/>
      <c r="M46" s="104"/>
      <c r="N46" s="104"/>
    </row>
    <row r="47" s="1" customFormat="1" ht="116" customHeight="1" spans="3:17">
      <c r="C47" s="111"/>
      <c r="D47" s="111" t="s">
        <v>160</v>
      </c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</row>
    <row r="48" s="1" customFormat="1" ht="16" customHeight="1" spans="3:14">
      <c r="C48" s="112"/>
      <c r="D48" s="113"/>
      <c r="E48" s="113"/>
      <c r="F48" s="113"/>
      <c r="G48" s="113"/>
      <c r="H48" s="113"/>
      <c r="I48" s="112"/>
      <c r="J48" s="112"/>
      <c r="K48" s="112"/>
      <c r="L48" s="112"/>
      <c r="M48" s="112"/>
      <c r="N48" s="112"/>
    </row>
    <row r="49" s="1" customFormat="1" ht="16" customHeight="1" spans="3:14">
      <c r="C49" s="112"/>
      <c r="D49" s="113"/>
      <c r="E49" s="113"/>
      <c r="F49" s="113"/>
      <c r="G49" s="113"/>
      <c r="H49" s="113"/>
      <c r="I49" s="112"/>
      <c r="J49" s="112"/>
      <c r="K49" s="112"/>
      <c r="L49" s="112"/>
      <c r="M49" s="112"/>
      <c r="N49" s="112"/>
    </row>
    <row r="50" s="1" customFormat="1" ht="16" customHeight="1" spans="3:14">
      <c r="C50" s="112"/>
      <c r="D50" s="113"/>
      <c r="E50" s="113"/>
      <c r="F50" s="113"/>
      <c r="G50" s="113"/>
      <c r="H50" s="113"/>
      <c r="I50" s="112"/>
      <c r="J50" s="112"/>
      <c r="K50" s="112"/>
      <c r="L50" s="112"/>
      <c r="M50" s="112"/>
      <c r="N50" s="112"/>
    </row>
    <row r="51" s="1" customFormat="1" ht="16" customHeight="1" spans="3:14">
      <c r="C51" s="112"/>
      <c r="D51" s="113"/>
      <c r="E51" s="113"/>
      <c r="F51" s="113"/>
      <c r="G51" s="113"/>
      <c r="H51" s="113"/>
      <c r="I51" s="112"/>
      <c r="J51" s="112"/>
      <c r="K51" s="112"/>
      <c r="L51" s="112"/>
      <c r="M51" s="112"/>
      <c r="N51" s="112"/>
    </row>
    <row r="52" s="1" customFormat="1" ht="16" customHeight="1" spans="3:14">
      <c r="C52" s="112"/>
      <c r="D52" s="113"/>
      <c r="E52" s="113"/>
      <c r="F52" s="113"/>
      <c r="G52" s="113"/>
      <c r="H52" s="113"/>
      <c r="I52" s="112"/>
      <c r="J52" s="112"/>
      <c r="K52" s="112"/>
      <c r="L52" s="112"/>
      <c r="M52" s="112"/>
      <c r="N52" s="112"/>
    </row>
    <row r="53" s="1" customFormat="1" ht="16" customHeight="1" spans="3:14">
      <c r="C53" s="112"/>
      <c r="D53" s="113"/>
      <c r="E53" s="113"/>
      <c r="F53" s="113"/>
      <c r="G53" s="113"/>
      <c r="H53" s="113"/>
      <c r="I53" s="112"/>
      <c r="J53" s="112"/>
      <c r="K53" s="112"/>
      <c r="L53" s="112"/>
      <c r="M53" s="112"/>
      <c r="N53" s="112"/>
    </row>
    <row r="54" s="1" customFormat="1" ht="16" customHeight="1" spans="3:14">
      <c r="C54" s="112"/>
      <c r="D54" s="113"/>
      <c r="E54" s="113"/>
      <c r="F54" s="113"/>
      <c r="G54" s="113"/>
      <c r="H54" s="113"/>
      <c r="I54" s="112"/>
      <c r="J54" s="112"/>
      <c r="K54" s="112"/>
      <c r="L54" s="112"/>
      <c r="M54" s="112"/>
      <c r="N54" s="112"/>
    </row>
    <row r="55" s="1" customFormat="1" spans="3:14">
      <c r="C55" s="104"/>
      <c r="E55" s="76"/>
      <c r="F55" s="76"/>
      <c r="G55" s="76"/>
      <c r="H55" s="76"/>
      <c r="I55" s="104"/>
      <c r="J55" s="104"/>
      <c r="K55" s="104"/>
      <c r="L55" s="104"/>
      <c r="M55" s="104"/>
      <c r="N55" s="104"/>
    </row>
  </sheetData>
  <autoFilter ref="A2:Q45">
    <extLst/>
  </autoFilter>
  <mergeCells count="3">
    <mergeCell ref="D1:Q1"/>
    <mergeCell ref="N2:Q2"/>
    <mergeCell ref="D47:Q47"/>
  </mergeCells>
  <printOptions horizontalCentered="1"/>
  <pageMargins left="0.751388888888889" right="0.751388888888889" top="0.60625" bottom="0.60625" header="0.5" footer="0.5"/>
  <pageSetup paperSize="8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E7" sqref="E7"/>
    </sheetView>
  </sheetViews>
  <sheetFormatPr defaultColWidth="9" defaultRowHeight="13.5" outlineLevelCol="4"/>
  <cols>
    <col min="1" max="1" width="10.8833333333333" style="90" customWidth="1"/>
    <col min="2" max="2" width="14.75" style="90" customWidth="1"/>
    <col min="3" max="3" width="13.75" style="90" customWidth="1"/>
    <col min="4" max="4" width="9" style="90"/>
    <col min="5" max="5" width="45.1083333333333" style="90" customWidth="1"/>
    <col min="6" max="16384" width="9" style="90"/>
  </cols>
  <sheetData>
    <row r="1" s="90" customFormat="1" ht="15" customHeight="1"/>
    <row r="2" s="90" customFormat="1" ht="30" customHeight="1" spans="1:5">
      <c r="A2" s="91" t="s">
        <v>192</v>
      </c>
      <c r="B2" s="91"/>
      <c r="C2" s="91"/>
      <c r="D2" s="91"/>
      <c r="E2" s="91"/>
    </row>
    <row r="3" s="90" customFormat="1" ht="15" customHeight="1" spans="5:5">
      <c r="E3" s="92" t="s">
        <v>193</v>
      </c>
    </row>
    <row r="4" s="90" customFormat="1" ht="57" customHeight="1" spans="1:5">
      <c r="A4" s="93" t="s">
        <v>194</v>
      </c>
      <c r="B4" s="94" t="s">
        <v>195</v>
      </c>
      <c r="C4" s="94" t="s">
        <v>196</v>
      </c>
      <c r="D4" s="95" t="s">
        <v>197</v>
      </c>
      <c r="E4" s="93" t="s">
        <v>198</v>
      </c>
    </row>
    <row r="5" s="90" customFormat="1" ht="15" customHeight="1" spans="1:5">
      <c r="A5" s="93" t="s">
        <v>199</v>
      </c>
      <c r="B5" s="96" t="s">
        <v>23</v>
      </c>
      <c r="C5" s="96"/>
      <c r="D5" s="95">
        <f>SUM(D6,D10,D12,D16,D18,D22,D25)</f>
        <v>679</v>
      </c>
      <c r="E5" s="93"/>
    </row>
    <row r="6" s="90" customFormat="1" ht="15" customHeight="1" spans="1:5">
      <c r="A6" s="93"/>
      <c r="B6" s="93" t="s">
        <v>49</v>
      </c>
      <c r="C6" s="96" t="s">
        <v>200</v>
      </c>
      <c r="D6" s="95">
        <f>D7+D8+D9</f>
        <v>120</v>
      </c>
      <c r="E6" s="93"/>
    </row>
    <row r="7" s="90" customFormat="1" ht="230.25" spans="1:5">
      <c r="A7" s="93"/>
      <c r="B7" s="93"/>
      <c r="C7" s="97" t="s">
        <v>201</v>
      </c>
      <c r="D7" s="98">
        <v>27</v>
      </c>
      <c r="E7" s="99" t="s">
        <v>202</v>
      </c>
    </row>
    <row r="8" s="90" customFormat="1" ht="24" spans="1:5">
      <c r="A8" s="93"/>
      <c r="B8" s="93"/>
      <c r="C8" s="97" t="s">
        <v>203</v>
      </c>
      <c r="D8" s="98">
        <v>18</v>
      </c>
      <c r="E8" s="99" t="s">
        <v>204</v>
      </c>
    </row>
    <row r="9" s="90" customFormat="1" ht="48.75" spans="1:5">
      <c r="A9" s="93"/>
      <c r="B9" s="93"/>
      <c r="C9" s="97" t="s">
        <v>205</v>
      </c>
      <c r="D9" s="98">
        <v>75</v>
      </c>
      <c r="E9" s="99" t="s">
        <v>206</v>
      </c>
    </row>
    <row r="10" s="90" customFormat="1" spans="1:5">
      <c r="A10" s="93"/>
      <c r="B10" s="94" t="s">
        <v>50</v>
      </c>
      <c r="C10" s="96" t="s">
        <v>200</v>
      </c>
      <c r="D10" s="98">
        <f>D11</f>
        <v>100</v>
      </c>
      <c r="E10" s="99"/>
    </row>
    <row r="11" s="90" customFormat="1" ht="139.5" spans="1:5">
      <c r="A11" s="93"/>
      <c r="B11" s="100"/>
      <c r="C11" s="97" t="s">
        <v>207</v>
      </c>
      <c r="D11" s="98">
        <v>100</v>
      </c>
      <c r="E11" s="101" t="s">
        <v>208</v>
      </c>
    </row>
    <row r="12" s="90" customFormat="1" spans="1:5">
      <c r="A12" s="93"/>
      <c r="B12" s="93" t="s">
        <v>51</v>
      </c>
      <c r="C12" s="96" t="s">
        <v>200</v>
      </c>
      <c r="D12" s="98">
        <f>SUM(D13:D15)</f>
        <v>259</v>
      </c>
      <c r="E12" s="101"/>
    </row>
    <row r="13" s="90" customFormat="1" ht="100.5" spans="1:5">
      <c r="A13" s="93"/>
      <c r="B13" s="93"/>
      <c r="C13" s="97" t="s">
        <v>209</v>
      </c>
      <c r="D13" s="98">
        <v>146</v>
      </c>
      <c r="E13" s="101" t="s">
        <v>210</v>
      </c>
    </row>
    <row r="14" s="90" customFormat="1" ht="89.25" spans="1:5">
      <c r="A14" s="93"/>
      <c r="B14" s="93"/>
      <c r="C14" s="97" t="s">
        <v>211</v>
      </c>
      <c r="D14" s="98">
        <v>43</v>
      </c>
      <c r="E14" s="101" t="s">
        <v>212</v>
      </c>
    </row>
    <row r="15" s="90" customFormat="1" ht="108" spans="1:5">
      <c r="A15" s="93"/>
      <c r="B15" s="93"/>
      <c r="C15" s="97" t="s">
        <v>213</v>
      </c>
      <c r="D15" s="98">
        <v>70</v>
      </c>
      <c r="E15" s="99" t="s">
        <v>214</v>
      </c>
    </row>
    <row r="16" s="90" customFormat="1" spans="1:5">
      <c r="A16" s="93"/>
      <c r="B16" s="94" t="s">
        <v>149</v>
      </c>
      <c r="C16" s="96" t="s">
        <v>200</v>
      </c>
      <c r="D16" s="98">
        <f>D17</f>
        <v>20</v>
      </c>
      <c r="E16" s="99"/>
    </row>
    <row r="17" s="90" customFormat="1" ht="50.25" spans="1:5">
      <c r="A17" s="93"/>
      <c r="B17" s="100"/>
      <c r="C17" s="97" t="s">
        <v>215</v>
      </c>
      <c r="D17" s="98">
        <v>20</v>
      </c>
      <c r="E17" s="101" t="s">
        <v>216</v>
      </c>
    </row>
    <row r="18" s="90" customFormat="1" spans="1:5">
      <c r="A18" s="93"/>
      <c r="B18" s="93" t="s">
        <v>52</v>
      </c>
      <c r="C18" s="96" t="s">
        <v>200</v>
      </c>
      <c r="D18" s="98">
        <f>SUM(D19:D21)</f>
        <v>80</v>
      </c>
      <c r="E18" s="101"/>
    </row>
    <row r="19" s="90" customFormat="1" ht="24" spans="1:5">
      <c r="A19" s="93"/>
      <c r="B19" s="93"/>
      <c r="C19" s="97" t="s">
        <v>217</v>
      </c>
      <c r="D19" s="98">
        <v>30</v>
      </c>
      <c r="E19" s="99" t="s">
        <v>218</v>
      </c>
    </row>
    <row r="20" s="90" customFormat="1" ht="50.25" spans="1:5">
      <c r="A20" s="93"/>
      <c r="B20" s="93"/>
      <c r="C20" s="97" t="s">
        <v>219</v>
      </c>
      <c r="D20" s="98">
        <v>30</v>
      </c>
      <c r="E20" s="99" t="s">
        <v>220</v>
      </c>
    </row>
    <row r="21" s="90" customFormat="1" ht="38.25" spans="1:5">
      <c r="A21" s="93"/>
      <c r="B21" s="93"/>
      <c r="C21" s="97" t="s">
        <v>221</v>
      </c>
      <c r="D21" s="98">
        <v>20</v>
      </c>
      <c r="E21" s="99" t="s">
        <v>222</v>
      </c>
    </row>
    <row r="22" s="90" customFormat="1" spans="1:5">
      <c r="A22" s="93"/>
      <c r="B22" s="93" t="s">
        <v>53</v>
      </c>
      <c r="C22" s="96" t="s">
        <v>200</v>
      </c>
      <c r="D22" s="102">
        <f>D23+D24</f>
        <v>50</v>
      </c>
      <c r="E22" s="99"/>
    </row>
    <row r="23" s="90" customFormat="1" ht="37.5" spans="1:5">
      <c r="A23" s="93"/>
      <c r="B23" s="93"/>
      <c r="C23" s="97" t="s">
        <v>205</v>
      </c>
      <c r="D23" s="98">
        <v>48</v>
      </c>
      <c r="E23" s="99" t="s">
        <v>223</v>
      </c>
    </row>
    <row r="24" s="90" customFormat="1" ht="36.75" spans="1:5">
      <c r="A24" s="93"/>
      <c r="B24" s="93"/>
      <c r="C24" s="103" t="s">
        <v>224</v>
      </c>
      <c r="D24" s="98">
        <v>2</v>
      </c>
      <c r="E24" s="99" t="s">
        <v>225</v>
      </c>
    </row>
    <row r="25" s="90" customFormat="1" spans="1:5">
      <c r="A25" s="93"/>
      <c r="B25" s="93" t="s">
        <v>54</v>
      </c>
      <c r="C25" s="96" t="s">
        <v>200</v>
      </c>
      <c r="D25" s="102">
        <f>D26+D27</f>
        <v>50</v>
      </c>
      <c r="E25" s="99"/>
    </row>
    <row r="26" s="90" customFormat="1" ht="37.5" spans="1:5">
      <c r="A26" s="93"/>
      <c r="B26" s="93"/>
      <c r="C26" s="97" t="s">
        <v>205</v>
      </c>
      <c r="D26" s="98">
        <v>48</v>
      </c>
      <c r="E26" s="99" t="s">
        <v>223</v>
      </c>
    </row>
    <row r="27" s="90" customFormat="1" ht="36.75" spans="1:5">
      <c r="A27" s="93"/>
      <c r="B27" s="93"/>
      <c r="C27" s="103" t="s">
        <v>224</v>
      </c>
      <c r="D27" s="98">
        <v>2</v>
      </c>
      <c r="E27" s="99" t="s">
        <v>225</v>
      </c>
    </row>
  </sheetData>
  <mergeCells count="10">
    <mergeCell ref="A2:E2"/>
    <mergeCell ref="B5:C5"/>
    <mergeCell ref="A5:A27"/>
    <mergeCell ref="B6:B9"/>
    <mergeCell ref="B10:B11"/>
    <mergeCell ref="B12:B15"/>
    <mergeCell ref="B16:B17"/>
    <mergeCell ref="B18:B21"/>
    <mergeCell ref="B22:B24"/>
    <mergeCell ref="B25:B2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0"/>
  <sheetViews>
    <sheetView tabSelected="1" workbookViewId="0">
      <selection activeCell="F11" sqref="F11"/>
    </sheetView>
  </sheetViews>
  <sheetFormatPr defaultColWidth="9" defaultRowHeight="15" outlineLevelCol="1"/>
  <cols>
    <col min="1" max="1" width="51.25" style="76" customWidth="1"/>
    <col min="2" max="2" width="45.25" style="77" customWidth="1"/>
  </cols>
  <sheetData>
    <row r="1" spans="1:1">
      <c r="A1" s="78" t="s">
        <v>226</v>
      </c>
    </row>
    <row r="2" s="1" customFormat="1" ht="29" customHeight="1" spans="1:2">
      <c r="A2" s="6" t="s">
        <v>227</v>
      </c>
      <c r="B2" s="6"/>
    </row>
    <row r="3" s="1" customFormat="1" ht="24" customHeight="1" spans="1:2">
      <c r="A3" s="79"/>
      <c r="B3" s="80" t="s">
        <v>193</v>
      </c>
    </row>
    <row r="4" s="75" customFormat="1" ht="28" customHeight="1" spans="1:2">
      <c r="A4" s="8" t="s">
        <v>1</v>
      </c>
      <c r="B4" s="8" t="s">
        <v>228</v>
      </c>
    </row>
    <row r="5" s="2" customFormat="1" ht="18" customHeight="1" spans="1:2">
      <c r="A5" s="81" t="s">
        <v>47</v>
      </c>
      <c r="B5" s="82">
        <v>4228.26</v>
      </c>
    </row>
    <row r="6" s="2" customFormat="1" ht="18" customHeight="1" spans="1:2">
      <c r="A6" s="83" t="s">
        <v>48</v>
      </c>
      <c r="B6" s="82">
        <v>303</v>
      </c>
    </row>
    <row r="7" s="3" customFormat="1" ht="18" customHeight="1" spans="1:2">
      <c r="A7" s="11" t="s">
        <v>50</v>
      </c>
      <c r="B7" s="84">
        <v>50</v>
      </c>
    </row>
    <row r="8" s="3" customFormat="1" ht="18" customHeight="1" spans="1:2">
      <c r="A8" s="11" t="s">
        <v>51</v>
      </c>
      <c r="B8" s="84">
        <v>68</v>
      </c>
    </row>
    <row r="9" s="3" customFormat="1" ht="18" customHeight="1" spans="1:2">
      <c r="A9" s="11" t="s">
        <v>149</v>
      </c>
      <c r="B9" s="84">
        <v>20</v>
      </c>
    </row>
    <row r="10" s="3" customFormat="1" ht="18" customHeight="1" spans="1:2">
      <c r="A10" s="11" t="s">
        <v>53</v>
      </c>
      <c r="B10" s="84">
        <v>84</v>
      </c>
    </row>
    <row r="11" s="3" customFormat="1" ht="18" customHeight="1" spans="1:2">
      <c r="A11" s="11" t="s">
        <v>54</v>
      </c>
      <c r="B11" s="84">
        <v>30</v>
      </c>
    </row>
    <row r="12" s="3" customFormat="1" ht="18" customHeight="1" spans="1:2">
      <c r="A12" s="11" t="s">
        <v>229</v>
      </c>
      <c r="B12" s="84">
        <v>27</v>
      </c>
    </row>
    <row r="13" s="3" customFormat="1" ht="18" customHeight="1" spans="1:2">
      <c r="A13" s="11" t="s">
        <v>230</v>
      </c>
      <c r="B13" s="84">
        <v>24</v>
      </c>
    </row>
    <row r="14" s="2" customFormat="1" ht="18" customHeight="1" spans="1:2">
      <c r="A14" s="83" t="s">
        <v>55</v>
      </c>
      <c r="B14" s="85">
        <v>3925.26</v>
      </c>
    </row>
    <row r="15" s="4" customFormat="1" ht="18" customHeight="1" spans="1:2">
      <c r="A15" s="86" t="s">
        <v>57</v>
      </c>
      <c r="B15" s="85">
        <v>200.71</v>
      </c>
    </row>
    <row r="16" s="4" customFormat="1" ht="18" customHeight="1" spans="1:2">
      <c r="A16" s="87" t="s">
        <v>58</v>
      </c>
      <c r="B16" s="85">
        <v>0</v>
      </c>
    </row>
    <row r="17" s="1" customFormat="1" ht="18" customHeight="1" spans="1:2">
      <c r="A17" s="87" t="s">
        <v>59</v>
      </c>
      <c r="B17" s="88">
        <v>23.19</v>
      </c>
    </row>
    <row r="18" s="1" customFormat="1" ht="18" customHeight="1" spans="1:2">
      <c r="A18" s="87" t="s">
        <v>60</v>
      </c>
      <c r="B18" s="88">
        <v>22.29</v>
      </c>
    </row>
    <row r="19" s="1" customFormat="1" ht="18" customHeight="1" spans="1:2">
      <c r="A19" s="87" t="s">
        <v>61</v>
      </c>
      <c r="B19" s="88">
        <v>35.44</v>
      </c>
    </row>
    <row r="20" s="1" customFormat="1" ht="18" customHeight="1" spans="1:2">
      <c r="A20" s="87" t="s">
        <v>62</v>
      </c>
      <c r="B20" s="88">
        <v>21.07</v>
      </c>
    </row>
    <row r="21" s="1" customFormat="1" ht="18" customHeight="1" spans="1:2">
      <c r="A21" s="87" t="s">
        <v>63</v>
      </c>
      <c r="B21" s="88">
        <v>22.67</v>
      </c>
    </row>
    <row r="22" s="1" customFormat="1" ht="18" customHeight="1" spans="1:2">
      <c r="A22" s="87" t="s">
        <v>64</v>
      </c>
      <c r="B22" s="88">
        <v>42.1</v>
      </c>
    </row>
    <row r="23" s="1" customFormat="1" ht="18" customHeight="1" spans="1:2">
      <c r="A23" s="87" t="s">
        <v>65</v>
      </c>
      <c r="B23" s="88">
        <v>33.95</v>
      </c>
    </row>
    <row r="24" s="4" customFormat="1" ht="18" customHeight="1" spans="1:2">
      <c r="A24" s="86" t="s">
        <v>67</v>
      </c>
      <c r="B24" s="85">
        <v>9.04</v>
      </c>
    </row>
    <row r="25" s="4" customFormat="1" ht="18" customHeight="1" spans="1:2">
      <c r="A25" s="87" t="s">
        <v>58</v>
      </c>
      <c r="B25" s="88">
        <v>0</v>
      </c>
    </row>
    <row r="26" s="1" customFormat="1" ht="18" customHeight="1" spans="1:2">
      <c r="A26" s="87" t="s">
        <v>68</v>
      </c>
      <c r="B26" s="88">
        <v>9.04</v>
      </c>
    </row>
    <row r="27" s="4" customFormat="1" ht="18" customHeight="1" spans="1:2">
      <c r="A27" s="86" t="s">
        <v>70</v>
      </c>
      <c r="B27" s="85">
        <v>343.3</v>
      </c>
    </row>
    <row r="28" s="4" customFormat="1" ht="18" customHeight="1" spans="1:2">
      <c r="A28" s="87" t="s">
        <v>58</v>
      </c>
      <c r="B28" s="88">
        <v>0</v>
      </c>
    </row>
    <row r="29" s="1" customFormat="1" ht="18" customHeight="1" spans="1:2">
      <c r="A29" s="87" t="s">
        <v>71</v>
      </c>
      <c r="B29" s="88">
        <v>120.25</v>
      </c>
    </row>
    <row r="30" s="1" customFormat="1" ht="18" customHeight="1" spans="1:2">
      <c r="A30" s="87" t="s">
        <v>72</v>
      </c>
      <c r="B30" s="88">
        <v>90.56</v>
      </c>
    </row>
    <row r="31" s="1" customFormat="1" ht="18" customHeight="1" spans="1:2">
      <c r="A31" s="87" t="s">
        <v>73</v>
      </c>
      <c r="B31" s="88">
        <v>72.06</v>
      </c>
    </row>
    <row r="32" s="1" customFormat="1" ht="18" customHeight="1" spans="1:2">
      <c r="A32" s="87" t="s">
        <v>74</v>
      </c>
      <c r="B32" s="88">
        <v>60.43</v>
      </c>
    </row>
    <row r="33" s="4" customFormat="1" ht="18" customHeight="1" spans="1:2">
      <c r="A33" s="86" t="s">
        <v>76</v>
      </c>
      <c r="B33" s="85">
        <v>577.06</v>
      </c>
    </row>
    <row r="34" s="4" customFormat="1" ht="18" customHeight="1" spans="1:2">
      <c r="A34" s="87" t="s">
        <v>58</v>
      </c>
      <c r="B34" s="88">
        <v>0</v>
      </c>
    </row>
    <row r="35" s="1" customFormat="1" ht="18" customHeight="1" spans="1:2">
      <c r="A35" s="87" t="s">
        <v>77</v>
      </c>
      <c r="B35" s="88">
        <v>94.2</v>
      </c>
    </row>
    <row r="36" s="1" customFormat="1" ht="18" customHeight="1" spans="1:2">
      <c r="A36" s="87" t="s">
        <v>78</v>
      </c>
      <c r="B36" s="88">
        <v>85.54</v>
      </c>
    </row>
    <row r="37" s="1" customFormat="1" ht="18" customHeight="1" spans="1:2">
      <c r="A37" s="87" t="s">
        <v>79</v>
      </c>
      <c r="B37" s="88">
        <v>152.1</v>
      </c>
    </row>
    <row r="38" s="1" customFormat="1" ht="18" customHeight="1" spans="1:2">
      <c r="A38" s="87" t="s">
        <v>80</v>
      </c>
      <c r="B38" s="88">
        <v>150.56</v>
      </c>
    </row>
    <row r="39" s="1" customFormat="1" ht="18" customHeight="1" spans="1:2">
      <c r="A39" s="87" t="s">
        <v>81</v>
      </c>
      <c r="B39" s="88">
        <v>94.66</v>
      </c>
    </row>
    <row r="40" s="4" customFormat="1" ht="18" customHeight="1" spans="1:2">
      <c r="A40" s="86" t="s">
        <v>83</v>
      </c>
      <c r="B40" s="85">
        <v>349.03</v>
      </c>
    </row>
    <row r="41" s="4" customFormat="1" ht="18" customHeight="1" spans="1:2">
      <c r="A41" s="87" t="s">
        <v>58</v>
      </c>
      <c r="B41" s="88">
        <v>0</v>
      </c>
    </row>
    <row r="42" s="1" customFormat="1" ht="18" customHeight="1" spans="1:2">
      <c r="A42" s="87" t="s">
        <v>84</v>
      </c>
      <c r="B42" s="88">
        <v>132.45</v>
      </c>
    </row>
    <row r="43" s="1" customFormat="1" ht="18" customHeight="1" spans="1:2">
      <c r="A43" s="87" t="s">
        <v>85</v>
      </c>
      <c r="B43" s="88">
        <v>117.24</v>
      </c>
    </row>
    <row r="44" s="1" customFormat="1" ht="18" customHeight="1" spans="1:2">
      <c r="A44" s="87" t="s">
        <v>86</v>
      </c>
      <c r="B44" s="88">
        <v>99.34</v>
      </c>
    </row>
    <row r="45" s="4" customFormat="1" ht="18" customHeight="1" spans="1:2">
      <c r="A45" s="86" t="s">
        <v>88</v>
      </c>
      <c r="B45" s="85">
        <v>256.48</v>
      </c>
    </row>
    <row r="46" s="4" customFormat="1" ht="18" customHeight="1" spans="1:2">
      <c r="A46" s="87" t="s">
        <v>58</v>
      </c>
      <c r="B46" s="88">
        <v>0</v>
      </c>
    </row>
    <row r="47" s="1" customFormat="1" ht="18" customHeight="1" spans="1:2">
      <c r="A47" s="87" t="s">
        <v>89</v>
      </c>
      <c r="B47" s="88">
        <v>46.81</v>
      </c>
    </row>
    <row r="48" s="1" customFormat="1" ht="18" customHeight="1" spans="1:2">
      <c r="A48" s="87" t="s">
        <v>90</v>
      </c>
      <c r="B48" s="88">
        <v>70.66</v>
      </c>
    </row>
    <row r="49" s="1" customFormat="1" ht="18" customHeight="1" spans="1:2">
      <c r="A49" s="87" t="s">
        <v>91</v>
      </c>
      <c r="B49" s="88">
        <v>35.29</v>
      </c>
    </row>
    <row r="50" s="1" customFormat="1" ht="18" customHeight="1" spans="1:2">
      <c r="A50" s="87" t="s">
        <v>92</v>
      </c>
      <c r="B50" s="88">
        <v>39.61</v>
      </c>
    </row>
    <row r="51" s="1" customFormat="1" ht="18" customHeight="1" spans="1:2">
      <c r="A51" s="87" t="s">
        <v>93</v>
      </c>
      <c r="B51" s="88">
        <v>64.11</v>
      </c>
    </row>
    <row r="52" s="4" customFormat="1" ht="18" customHeight="1" spans="1:2">
      <c r="A52" s="86" t="s">
        <v>95</v>
      </c>
      <c r="B52" s="85">
        <v>318.42</v>
      </c>
    </row>
    <row r="53" s="4" customFormat="1" ht="18" customHeight="1" spans="1:2">
      <c r="A53" s="87" t="s">
        <v>58</v>
      </c>
      <c r="B53" s="88">
        <v>0</v>
      </c>
    </row>
    <row r="54" s="1" customFormat="1" ht="18" customHeight="1" spans="1:2">
      <c r="A54" s="87" t="s">
        <v>96</v>
      </c>
      <c r="B54" s="88">
        <v>155.56</v>
      </c>
    </row>
    <row r="55" s="1" customFormat="1" ht="18" customHeight="1" spans="1:2">
      <c r="A55" s="87" t="s">
        <v>97</v>
      </c>
      <c r="B55" s="88">
        <v>130.55</v>
      </c>
    </row>
    <row r="56" s="1" customFormat="1" ht="18" customHeight="1" spans="1:2">
      <c r="A56" s="87" t="s">
        <v>98</v>
      </c>
      <c r="B56" s="88">
        <v>32.31</v>
      </c>
    </row>
    <row r="57" s="4" customFormat="1" ht="18" customHeight="1" spans="1:2">
      <c r="A57" s="86" t="s">
        <v>100</v>
      </c>
      <c r="B57" s="85">
        <v>323.8</v>
      </c>
    </row>
    <row r="58" s="4" customFormat="1" ht="18" customHeight="1" spans="1:2">
      <c r="A58" s="87" t="s">
        <v>58</v>
      </c>
      <c r="B58" s="88">
        <v>0</v>
      </c>
    </row>
    <row r="59" s="1" customFormat="1" ht="18" customHeight="1" spans="1:2">
      <c r="A59" s="87" t="s">
        <v>101</v>
      </c>
      <c r="B59" s="88">
        <v>15.58</v>
      </c>
    </row>
    <row r="60" s="1" customFormat="1" ht="18" customHeight="1" spans="1:2">
      <c r="A60" s="87" t="s">
        <v>102</v>
      </c>
      <c r="B60" s="88">
        <v>56.2</v>
      </c>
    </row>
    <row r="61" s="1" customFormat="1" ht="18" customHeight="1" spans="1:2">
      <c r="A61" s="87" t="s">
        <v>103</v>
      </c>
      <c r="B61" s="88">
        <v>122.99</v>
      </c>
    </row>
    <row r="62" s="1" customFormat="1" ht="18" customHeight="1" spans="1:2">
      <c r="A62" s="87" t="s">
        <v>104</v>
      </c>
      <c r="B62" s="88">
        <v>17.73</v>
      </c>
    </row>
    <row r="63" s="1" customFormat="1" ht="18" customHeight="1" spans="1:2">
      <c r="A63" s="87" t="s">
        <v>105</v>
      </c>
      <c r="B63" s="88">
        <v>20.98</v>
      </c>
    </row>
    <row r="64" s="1" customFormat="1" ht="18" customHeight="1" spans="1:2">
      <c r="A64" s="87" t="s">
        <v>106</v>
      </c>
      <c r="B64" s="88">
        <v>90.32</v>
      </c>
    </row>
    <row r="65" s="4" customFormat="1" ht="18" customHeight="1" spans="1:2">
      <c r="A65" s="86" t="s">
        <v>108</v>
      </c>
      <c r="B65" s="85">
        <v>256.2</v>
      </c>
    </row>
    <row r="66" s="4" customFormat="1" ht="18" customHeight="1" spans="1:2">
      <c r="A66" s="87" t="s">
        <v>58</v>
      </c>
      <c r="B66" s="88">
        <v>0</v>
      </c>
    </row>
    <row r="67" s="1" customFormat="1" ht="18" customHeight="1" spans="1:2">
      <c r="A67" s="87" t="s">
        <v>109</v>
      </c>
      <c r="B67" s="88">
        <v>93.29</v>
      </c>
    </row>
    <row r="68" s="1" customFormat="1" ht="18" customHeight="1" spans="1:2">
      <c r="A68" s="87" t="s">
        <v>110</v>
      </c>
      <c r="B68" s="88">
        <v>20.01</v>
      </c>
    </row>
    <row r="69" s="1" customFormat="1" ht="18" customHeight="1" spans="1:2">
      <c r="A69" s="87" t="s">
        <v>111</v>
      </c>
      <c r="B69" s="88">
        <v>142.9</v>
      </c>
    </row>
    <row r="70" s="4" customFormat="1" ht="18" customHeight="1" spans="1:2">
      <c r="A70" s="86" t="s">
        <v>113</v>
      </c>
      <c r="B70" s="85">
        <v>237.71</v>
      </c>
    </row>
    <row r="71" s="4" customFormat="1" ht="18" customHeight="1" spans="1:2">
      <c r="A71" s="87" t="s">
        <v>58</v>
      </c>
      <c r="B71" s="88">
        <v>0</v>
      </c>
    </row>
    <row r="72" s="1" customFormat="1" ht="18" customHeight="1" spans="1:2">
      <c r="A72" s="87" t="s">
        <v>114</v>
      </c>
      <c r="B72" s="88">
        <v>58.75</v>
      </c>
    </row>
    <row r="73" s="1" customFormat="1" ht="18" customHeight="1" spans="1:2">
      <c r="A73" s="87" t="s">
        <v>115</v>
      </c>
      <c r="B73" s="88">
        <v>63.35</v>
      </c>
    </row>
    <row r="74" s="1" customFormat="1" ht="18" customHeight="1" spans="1:2">
      <c r="A74" s="87" t="s">
        <v>116</v>
      </c>
      <c r="B74" s="88">
        <v>33.58</v>
      </c>
    </row>
    <row r="75" s="1" customFormat="1" ht="18" customHeight="1" spans="1:2">
      <c r="A75" s="87" t="s">
        <v>117</v>
      </c>
      <c r="B75" s="88">
        <v>40.93</v>
      </c>
    </row>
    <row r="76" s="1" customFormat="1" ht="18" customHeight="1" spans="1:2">
      <c r="A76" s="87" t="s">
        <v>118</v>
      </c>
      <c r="B76" s="88">
        <v>41.1</v>
      </c>
    </row>
    <row r="77" s="4" customFormat="1" ht="18" customHeight="1" spans="1:2">
      <c r="A77" s="86" t="s">
        <v>120</v>
      </c>
      <c r="B77" s="85">
        <v>159.05</v>
      </c>
    </row>
    <row r="78" s="4" customFormat="1" ht="18" customHeight="1" spans="1:2">
      <c r="A78" s="87" t="s">
        <v>58</v>
      </c>
      <c r="B78" s="88">
        <v>0</v>
      </c>
    </row>
    <row r="79" s="1" customFormat="1" ht="18" customHeight="1" spans="1:2">
      <c r="A79" s="87" t="s">
        <v>121</v>
      </c>
      <c r="B79" s="88">
        <v>56.67</v>
      </c>
    </row>
    <row r="80" s="1" customFormat="1" ht="18" customHeight="1" spans="1:2">
      <c r="A80" s="87" t="s">
        <v>122</v>
      </c>
      <c r="B80" s="88">
        <v>102.38</v>
      </c>
    </row>
    <row r="81" s="4" customFormat="1" ht="18" customHeight="1" spans="1:2">
      <c r="A81" s="86" t="s">
        <v>123</v>
      </c>
      <c r="B81" s="85">
        <v>226.3</v>
      </c>
    </row>
    <row r="82" s="4" customFormat="1" ht="18" customHeight="1" spans="1:2">
      <c r="A82" s="87" t="s">
        <v>58</v>
      </c>
      <c r="B82" s="88">
        <v>0</v>
      </c>
    </row>
    <row r="83" s="1" customFormat="1" ht="18" customHeight="1" spans="1:2">
      <c r="A83" s="87" t="s">
        <v>125</v>
      </c>
      <c r="B83" s="88">
        <v>38.26</v>
      </c>
    </row>
    <row r="84" s="1" customFormat="1" ht="18" customHeight="1" spans="1:2">
      <c r="A84" s="87" t="s">
        <v>126</v>
      </c>
      <c r="B84" s="88">
        <v>41.56</v>
      </c>
    </row>
    <row r="85" s="1" customFormat="1" ht="18" customHeight="1" spans="1:2">
      <c r="A85" s="87" t="s">
        <v>127</v>
      </c>
      <c r="B85" s="88">
        <v>10.24</v>
      </c>
    </row>
    <row r="86" s="1" customFormat="1" ht="18" customHeight="1" spans="1:2">
      <c r="A86" s="87" t="s">
        <v>128</v>
      </c>
      <c r="B86" s="88">
        <v>11.6</v>
      </c>
    </row>
    <row r="87" s="1" customFormat="1" ht="18" customHeight="1" spans="1:2">
      <c r="A87" s="87" t="s">
        <v>129</v>
      </c>
      <c r="B87" s="88">
        <v>86.61</v>
      </c>
    </row>
    <row r="88" s="1" customFormat="1" ht="18" customHeight="1" spans="1:2">
      <c r="A88" s="87" t="s">
        <v>130</v>
      </c>
      <c r="B88" s="88">
        <v>38.03</v>
      </c>
    </row>
    <row r="89" s="4" customFormat="1" ht="18" customHeight="1" spans="1:2">
      <c r="A89" s="86" t="s">
        <v>132</v>
      </c>
      <c r="B89" s="85">
        <v>114.14</v>
      </c>
    </row>
    <row r="90" s="4" customFormat="1" ht="18" customHeight="1" spans="1:2">
      <c r="A90" s="87" t="s">
        <v>58</v>
      </c>
      <c r="B90" s="82">
        <v>0</v>
      </c>
    </row>
    <row r="91" s="1" customFormat="1" ht="18" customHeight="1" spans="1:2">
      <c r="A91" s="87" t="s">
        <v>133</v>
      </c>
      <c r="B91" s="88">
        <v>114.14</v>
      </c>
    </row>
    <row r="92" s="4" customFormat="1" ht="18" customHeight="1" spans="1:2">
      <c r="A92" s="86" t="s">
        <v>135</v>
      </c>
      <c r="B92" s="85">
        <v>385.21</v>
      </c>
    </row>
    <row r="93" s="4" customFormat="1" ht="18" customHeight="1" spans="1:2">
      <c r="A93" s="87" t="s">
        <v>58</v>
      </c>
      <c r="B93" s="88">
        <v>0</v>
      </c>
    </row>
    <row r="94" s="1" customFormat="1" ht="18" customHeight="1" spans="1:2">
      <c r="A94" s="87" t="s">
        <v>136</v>
      </c>
      <c r="B94" s="88">
        <v>72.69</v>
      </c>
    </row>
    <row r="95" s="1" customFormat="1" ht="18" customHeight="1" spans="1:2">
      <c r="A95" s="87" t="s">
        <v>137</v>
      </c>
      <c r="B95" s="88">
        <v>109.2</v>
      </c>
    </row>
    <row r="96" s="1" customFormat="1" ht="18" customHeight="1" spans="1:2">
      <c r="A96" s="87" t="s">
        <v>138</v>
      </c>
      <c r="B96" s="88">
        <v>203.32</v>
      </c>
    </row>
    <row r="97" s="4" customFormat="1" ht="18" customHeight="1" spans="1:2">
      <c r="A97" s="86" t="s">
        <v>140</v>
      </c>
      <c r="B97" s="85">
        <v>168.81</v>
      </c>
    </row>
    <row r="98" s="4" customFormat="1" ht="18" customHeight="1" spans="1:2">
      <c r="A98" s="87" t="s">
        <v>58</v>
      </c>
      <c r="B98" s="88">
        <v>0</v>
      </c>
    </row>
    <row r="99" s="1" customFormat="1" ht="18" customHeight="1" spans="1:2">
      <c r="A99" s="87" t="s">
        <v>141</v>
      </c>
      <c r="B99" s="88">
        <v>49.74</v>
      </c>
    </row>
    <row r="100" s="1" customFormat="1" ht="18" customHeight="1" spans="1:2">
      <c r="A100" s="87" t="s">
        <v>142</v>
      </c>
      <c r="B100" s="88">
        <v>38.86</v>
      </c>
    </row>
    <row r="101" s="1" customFormat="1" ht="18" customHeight="1" spans="1:2">
      <c r="A101" s="87" t="s">
        <v>143</v>
      </c>
      <c r="B101" s="88">
        <v>80.21</v>
      </c>
    </row>
    <row r="102" s="1" customFormat="1" spans="1:2">
      <c r="A102" s="76"/>
      <c r="B102" s="76"/>
    </row>
    <row r="103" s="1" customFormat="1" ht="16" customHeight="1" spans="1:2">
      <c r="A103" s="89"/>
      <c r="B103" s="76"/>
    </row>
    <row r="104" s="1" customFormat="1" ht="16" customHeight="1" spans="1:2">
      <c r="A104" s="89"/>
      <c r="B104" s="76"/>
    </row>
    <row r="105" s="1" customFormat="1" ht="16" customHeight="1" spans="1:2">
      <c r="A105" s="89"/>
      <c r="B105" s="76"/>
    </row>
    <row r="106" s="1" customFormat="1" ht="16" customHeight="1" spans="1:2">
      <c r="A106" s="89"/>
      <c r="B106" s="76"/>
    </row>
    <row r="107" s="1" customFormat="1" ht="16" customHeight="1" spans="1:2">
      <c r="A107" s="89"/>
      <c r="B107" s="76"/>
    </row>
    <row r="108" s="1" customFormat="1" ht="16" customHeight="1" spans="1:2">
      <c r="A108" s="89"/>
      <c r="B108" s="76"/>
    </row>
    <row r="109" s="1" customFormat="1" ht="16" customHeight="1" spans="1:2">
      <c r="A109" s="89"/>
      <c r="B109" s="76"/>
    </row>
    <row r="110" s="1" customFormat="1" spans="1:2">
      <c r="A110" s="76"/>
      <c r="B110" s="76"/>
    </row>
  </sheetData>
  <mergeCells count="1">
    <mergeCell ref="A2:B2"/>
  </mergeCells>
  <printOptions horizontalCentered="1"/>
  <pageMargins left="0.472222222222222" right="0.472222222222222" top="0.590277777777778" bottom="0.590277777777778" header="0.5" footer="0.5"/>
  <pageSetup paperSize="9" scale="75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89"/>
  <sheetViews>
    <sheetView workbookViewId="0">
      <selection activeCell="P20" sqref="P20"/>
    </sheetView>
  </sheetViews>
  <sheetFormatPr defaultColWidth="9" defaultRowHeight="15"/>
  <cols>
    <col min="1" max="1" width="7.50833333333333" style="50" customWidth="1"/>
    <col min="2" max="4" width="14.2" style="50" hidden="1" customWidth="1"/>
    <col min="5" max="5" width="11.5083333333333" style="50" hidden="1" customWidth="1"/>
    <col min="6" max="6" width="9.66666666666667" style="50"/>
    <col min="7" max="7" width="1.1" style="50" customWidth="1"/>
    <col min="8" max="9" width="20.6" style="50" customWidth="1"/>
    <col min="10" max="12" width="14.2" style="50" customWidth="1"/>
    <col min="13" max="13" width="11.5083333333333" style="50" customWidth="1"/>
    <col min="14" max="16" width="11.375" style="50" customWidth="1"/>
    <col min="17" max="20" width="9" style="50"/>
    <col min="21" max="21" width="22.375" style="52" customWidth="1"/>
    <col min="22" max="209" width="9" style="50"/>
    <col min="210" max="16384" width="9" style="51"/>
  </cols>
  <sheetData>
    <row r="1" s="50" customFormat="1" ht="18.75" spans="1:25">
      <c r="A1" s="53" t="s">
        <v>231</v>
      </c>
      <c r="B1" s="54"/>
      <c r="C1" s="54"/>
      <c r="D1" s="54"/>
      <c r="E1" s="54"/>
      <c r="F1" s="54"/>
      <c r="G1" s="55"/>
      <c r="H1" s="54" t="s">
        <v>231</v>
      </c>
      <c r="I1" s="54"/>
      <c r="J1" s="54"/>
      <c r="K1" s="54"/>
      <c r="L1" s="54"/>
      <c r="M1" s="54"/>
      <c r="N1" s="54"/>
      <c r="O1" s="61"/>
      <c r="P1" s="61"/>
      <c r="U1" s="68" t="s">
        <v>1</v>
      </c>
      <c r="V1" s="69" t="s">
        <v>232</v>
      </c>
      <c r="W1" s="50">
        <v>20564354</v>
      </c>
      <c r="X1" s="69" t="s">
        <v>233</v>
      </c>
      <c r="Y1" s="50">
        <v>37638310</v>
      </c>
    </row>
    <row r="2" s="50" customFormat="1" ht="18.75" spans="1:21">
      <c r="A2" s="56" t="s">
        <v>234</v>
      </c>
      <c r="B2" s="56" t="s">
        <v>235</v>
      </c>
      <c r="C2" s="56" t="s">
        <v>236</v>
      </c>
      <c r="D2" s="56" t="s">
        <v>237</v>
      </c>
      <c r="E2" s="56" t="s">
        <v>238</v>
      </c>
      <c r="F2" s="56" t="s">
        <v>23</v>
      </c>
      <c r="G2" s="55"/>
      <c r="H2" s="57" t="s">
        <v>234</v>
      </c>
      <c r="I2" s="57" t="s">
        <v>239</v>
      </c>
      <c r="J2" s="57" t="s">
        <v>235</v>
      </c>
      <c r="K2" s="57" t="s">
        <v>236</v>
      </c>
      <c r="L2" s="57" t="s">
        <v>237</v>
      </c>
      <c r="M2" s="57" t="s">
        <v>238</v>
      </c>
      <c r="N2" s="57" t="s">
        <v>23</v>
      </c>
      <c r="O2" s="62" t="s">
        <v>240</v>
      </c>
      <c r="P2" s="62" t="s">
        <v>241</v>
      </c>
      <c r="Q2" s="69" t="s">
        <v>242</v>
      </c>
      <c r="R2" s="69" t="s">
        <v>243</v>
      </c>
      <c r="S2" s="69" t="s">
        <v>234</v>
      </c>
      <c r="U2" s="70"/>
    </row>
    <row r="3" s="50" customFormat="1" spans="1:21">
      <c r="A3" s="58" t="s">
        <v>244</v>
      </c>
      <c r="B3" s="59">
        <v>566036</v>
      </c>
      <c r="C3" s="59">
        <v>3376863</v>
      </c>
      <c r="D3" s="59">
        <v>13753280</v>
      </c>
      <c r="E3" s="59">
        <v>184396</v>
      </c>
      <c r="F3" s="59">
        <v>17880575</v>
      </c>
      <c r="H3" s="58" t="s">
        <v>244</v>
      </c>
      <c r="I3" s="58" t="s">
        <v>245</v>
      </c>
      <c r="J3" s="59">
        <v>33585</v>
      </c>
      <c r="K3" s="59">
        <v>226658</v>
      </c>
      <c r="L3" s="59">
        <v>837243</v>
      </c>
      <c r="M3" s="59">
        <v>7251</v>
      </c>
      <c r="N3" s="59">
        <v>1104737</v>
      </c>
      <c r="O3" s="63">
        <v>915760</v>
      </c>
      <c r="P3" s="63">
        <f>O3-N3</f>
        <v>-188977</v>
      </c>
      <c r="S3" s="69" t="s">
        <v>244</v>
      </c>
      <c r="U3" s="68"/>
    </row>
    <row r="4" s="50" customFormat="1" ht="14.25" spans="1:22">
      <c r="A4" s="58" t="s">
        <v>57</v>
      </c>
      <c r="B4" s="59">
        <v>57935</v>
      </c>
      <c r="C4" s="59">
        <v>268875</v>
      </c>
      <c r="D4" s="59">
        <v>1437226</v>
      </c>
      <c r="E4" s="59">
        <v>80035</v>
      </c>
      <c r="F4" s="59">
        <v>1844071</v>
      </c>
      <c r="H4" s="58" t="s">
        <v>244</v>
      </c>
      <c r="I4" s="58" t="s">
        <v>246</v>
      </c>
      <c r="J4" s="59">
        <v>27635</v>
      </c>
      <c r="K4" s="59">
        <v>162379</v>
      </c>
      <c r="L4" s="59">
        <v>746008</v>
      </c>
      <c r="M4" s="59">
        <v>18618</v>
      </c>
      <c r="N4" s="59">
        <v>954640</v>
      </c>
      <c r="O4" s="63">
        <v>751978</v>
      </c>
      <c r="P4" s="63">
        <f t="shared" ref="P4:P35" si="0">O4-N4</f>
        <v>-202662</v>
      </c>
      <c r="S4" s="69" t="s">
        <v>244</v>
      </c>
      <c r="U4" s="16" t="s">
        <v>47</v>
      </c>
      <c r="V4" s="50">
        <v>1</v>
      </c>
    </row>
    <row r="5" s="50" customFormat="1" ht="14.25" spans="1:22">
      <c r="A5" s="58" t="s">
        <v>247</v>
      </c>
      <c r="B5" s="59">
        <v>755102</v>
      </c>
      <c r="C5" s="59">
        <v>3350078</v>
      </c>
      <c r="D5" s="59">
        <v>13035295</v>
      </c>
      <c r="E5" s="59">
        <v>128049</v>
      </c>
      <c r="F5" s="59">
        <v>17268524</v>
      </c>
      <c r="H5" s="58" t="s">
        <v>244</v>
      </c>
      <c r="I5" s="58" t="s">
        <v>248</v>
      </c>
      <c r="J5" s="59">
        <v>73962</v>
      </c>
      <c r="K5" s="59">
        <v>426149</v>
      </c>
      <c r="L5" s="59">
        <v>1441835</v>
      </c>
      <c r="M5" s="59">
        <v>9761</v>
      </c>
      <c r="N5" s="59">
        <v>1951707</v>
      </c>
      <c r="O5" s="63">
        <v>1408092</v>
      </c>
      <c r="P5" s="63">
        <f t="shared" si="0"/>
        <v>-543615</v>
      </c>
      <c r="S5" s="69" t="s">
        <v>244</v>
      </c>
      <c r="U5" s="15" t="s">
        <v>48</v>
      </c>
      <c r="V5" s="50">
        <v>1</v>
      </c>
    </row>
    <row r="6" s="50" customFormat="1" ht="14.25" spans="1:22">
      <c r="A6" s="58" t="s">
        <v>249</v>
      </c>
      <c r="B6" s="59">
        <v>89200</v>
      </c>
      <c r="C6" s="59">
        <v>437844</v>
      </c>
      <c r="D6" s="59">
        <v>1797636</v>
      </c>
      <c r="E6" s="59">
        <v>114822</v>
      </c>
      <c r="F6" s="59">
        <v>2439502</v>
      </c>
      <c r="H6" s="58" t="s">
        <v>244</v>
      </c>
      <c r="I6" s="58" t="s">
        <v>250</v>
      </c>
      <c r="J6" s="59">
        <v>64842</v>
      </c>
      <c r="K6" s="59">
        <v>476840</v>
      </c>
      <c r="L6" s="59">
        <v>1478189</v>
      </c>
      <c r="M6" s="59">
        <v>19222</v>
      </c>
      <c r="N6" s="59">
        <v>2039093</v>
      </c>
      <c r="O6" s="63">
        <v>1752622</v>
      </c>
      <c r="P6" s="63">
        <f t="shared" si="0"/>
        <v>-286471</v>
      </c>
      <c r="S6" s="69" t="s">
        <v>244</v>
      </c>
      <c r="U6" s="18" t="s">
        <v>251</v>
      </c>
      <c r="V6" s="50">
        <v>1</v>
      </c>
    </row>
    <row r="7" s="50" customFormat="1" ht="14.25" spans="1:22">
      <c r="A7" s="58" t="s">
        <v>67</v>
      </c>
      <c r="B7" s="59">
        <v>154402</v>
      </c>
      <c r="C7" s="59">
        <v>686345</v>
      </c>
      <c r="D7" s="59">
        <v>2953495</v>
      </c>
      <c r="E7" s="59">
        <v>25630</v>
      </c>
      <c r="F7" s="59">
        <v>3819872</v>
      </c>
      <c r="H7" s="58" t="s">
        <v>244</v>
      </c>
      <c r="I7" s="58" t="s">
        <v>252</v>
      </c>
      <c r="J7" s="59">
        <v>110604</v>
      </c>
      <c r="K7" s="59">
        <v>732075</v>
      </c>
      <c r="L7" s="59">
        <v>2628568</v>
      </c>
      <c r="M7" s="59">
        <v>16534</v>
      </c>
      <c r="N7" s="59">
        <v>3487781</v>
      </c>
      <c r="O7" s="63">
        <v>2947313</v>
      </c>
      <c r="P7" s="63">
        <f t="shared" si="0"/>
        <v>-540468</v>
      </c>
      <c r="S7" s="69" t="s">
        <v>244</v>
      </c>
      <c r="U7" s="15" t="s">
        <v>55</v>
      </c>
      <c r="V7" s="50">
        <v>1</v>
      </c>
    </row>
    <row r="8" s="50" customFormat="1" ht="14.25" spans="1:22">
      <c r="A8" s="58" t="s">
        <v>253</v>
      </c>
      <c r="B8" s="59">
        <v>284894</v>
      </c>
      <c r="C8" s="59">
        <v>1579040</v>
      </c>
      <c r="D8" s="59">
        <v>6974014</v>
      </c>
      <c r="E8" s="59">
        <v>133007</v>
      </c>
      <c r="F8" s="59">
        <v>8970955</v>
      </c>
      <c r="H8" s="58" t="s">
        <v>244</v>
      </c>
      <c r="I8" s="58" t="s">
        <v>254</v>
      </c>
      <c r="J8" s="59">
        <v>41283</v>
      </c>
      <c r="K8" s="59">
        <v>239157</v>
      </c>
      <c r="L8" s="59">
        <v>1029359</v>
      </c>
      <c r="M8" s="59">
        <v>12174</v>
      </c>
      <c r="N8" s="59">
        <v>1321973</v>
      </c>
      <c r="O8" s="63">
        <v>977833</v>
      </c>
      <c r="P8" s="63">
        <f t="shared" si="0"/>
        <v>-344140</v>
      </c>
      <c r="S8" s="69" t="s">
        <v>244</v>
      </c>
      <c r="U8" s="23" t="s">
        <v>57</v>
      </c>
      <c r="V8" s="50">
        <v>1</v>
      </c>
    </row>
    <row r="9" s="50" customFormat="1" spans="1:22">
      <c r="A9" s="58" t="s">
        <v>70</v>
      </c>
      <c r="B9" s="59">
        <v>101953</v>
      </c>
      <c r="C9" s="59">
        <v>590846</v>
      </c>
      <c r="D9" s="59">
        <v>2898397</v>
      </c>
      <c r="E9" s="59">
        <v>72331</v>
      </c>
      <c r="F9" s="59">
        <v>3663527</v>
      </c>
      <c r="H9" s="58" t="s">
        <v>244</v>
      </c>
      <c r="I9" s="58" t="s">
        <v>255</v>
      </c>
      <c r="J9" s="59">
        <v>85377</v>
      </c>
      <c r="K9" s="59">
        <v>471558</v>
      </c>
      <c r="L9" s="59">
        <v>1940171</v>
      </c>
      <c r="M9" s="59">
        <v>26426</v>
      </c>
      <c r="N9" s="59">
        <v>2523532</v>
      </c>
      <c r="O9" s="63">
        <v>2081533</v>
      </c>
      <c r="P9" s="63">
        <f t="shared" si="0"/>
        <v>-441999</v>
      </c>
      <c r="S9" s="69" t="s">
        <v>244</v>
      </c>
      <c r="U9" s="71" t="s">
        <v>58</v>
      </c>
      <c r="V9" s="50">
        <v>1</v>
      </c>
    </row>
    <row r="10" s="50" customFormat="1" spans="1:22">
      <c r="A10" s="58" t="s">
        <v>76</v>
      </c>
      <c r="B10" s="59">
        <v>118018</v>
      </c>
      <c r="C10" s="59">
        <v>611567</v>
      </c>
      <c r="D10" s="59">
        <v>3006754</v>
      </c>
      <c r="E10" s="59">
        <v>255013</v>
      </c>
      <c r="F10" s="59">
        <v>3991352</v>
      </c>
      <c r="H10" s="58" t="s">
        <v>244</v>
      </c>
      <c r="I10" s="58" t="s">
        <v>256</v>
      </c>
      <c r="J10" s="59">
        <v>44333</v>
      </c>
      <c r="K10" s="59">
        <v>199192</v>
      </c>
      <c r="L10" s="59">
        <v>1312138</v>
      </c>
      <c r="M10" s="59">
        <v>20325</v>
      </c>
      <c r="N10" s="59">
        <v>1575988</v>
      </c>
      <c r="O10" s="63">
        <v>1219241</v>
      </c>
      <c r="P10" s="63">
        <f t="shared" si="0"/>
        <v>-356747</v>
      </c>
      <c r="S10" s="69" t="s">
        <v>244</v>
      </c>
      <c r="U10" s="71" t="s">
        <v>257</v>
      </c>
      <c r="V10" s="50">
        <v>1</v>
      </c>
    </row>
    <row r="11" s="50" customFormat="1" spans="1:22">
      <c r="A11" s="58" t="s">
        <v>83</v>
      </c>
      <c r="B11" s="59">
        <v>90126</v>
      </c>
      <c r="C11" s="59">
        <v>452328</v>
      </c>
      <c r="D11" s="59">
        <v>2452413</v>
      </c>
      <c r="E11" s="59">
        <v>260809</v>
      </c>
      <c r="F11" s="59">
        <v>3255676</v>
      </c>
      <c r="H11" s="58" t="s">
        <v>244</v>
      </c>
      <c r="I11" s="58" t="s">
        <v>258</v>
      </c>
      <c r="J11" s="59">
        <v>27288</v>
      </c>
      <c r="K11" s="59">
        <v>145175</v>
      </c>
      <c r="L11" s="59">
        <v>673693</v>
      </c>
      <c r="M11" s="59">
        <v>27659</v>
      </c>
      <c r="N11" s="59">
        <v>873815</v>
      </c>
      <c r="O11" s="63">
        <v>651341</v>
      </c>
      <c r="P11" s="63">
        <f t="shared" si="0"/>
        <v>-222474</v>
      </c>
      <c r="S11" s="69" t="s">
        <v>244</v>
      </c>
      <c r="U11" s="71" t="s">
        <v>259</v>
      </c>
      <c r="V11" s="50">
        <v>1</v>
      </c>
    </row>
    <row r="12" s="50" customFormat="1" spans="1:22">
      <c r="A12" s="58" t="s">
        <v>88</v>
      </c>
      <c r="B12" s="59">
        <v>76165</v>
      </c>
      <c r="C12" s="59">
        <v>408825</v>
      </c>
      <c r="D12" s="59">
        <v>2165578</v>
      </c>
      <c r="E12" s="59">
        <v>30588</v>
      </c>
      <c r="F12" s="59">
        <v>2681156</v>
      </c>
      <c r="H12" s="58" t="s">
        <v>244</v>
      </c>
      <c r="I12" s="58" t="s">
        <v>260</v>
      </c>
      <c r="J12" s="59">
        <v>45315</v>
      </c>
      <c r="K12" s="59">
        <v>228945</v>
      </c>
      <c r="L12" s="59">
        <v>1219923</v>
      </c>
      <c r="M12" s="59">
        <v>18992</v>
      </c>
      <c r="N12" s="59">
        <v>1513175</v>
      </c>
      <c r="O12" s="63">
        <v>1037619</v>
      </c>
      <c r="P12" s="63">
        <f t="shared" si="0"/>
        <v>-475556</v>
      </c>
      <c r="S12" s="69" t="s">
        <v>244</v>
      </c>
      <c r="U12" s="71" t="s">
        <v>261</v>
      </c>
      <c r="V12" s="50">
        <v>1</v>
      </c>
    </row>
    <row r="13" s="50" customFormat="1" spans="1:22">
      <c r="A13" s="58" t="s">
        <v>95</v>
      </c>
      <c r="B13" s="59">
        <v>206250</v>
      </c>
      <c r="C13" s="59">
        <v>1119620</v>
      </c>
      <c r="D13" s="59">
        <v>4170681</v>
      </c>
      <c r="E13" s="59">
        <v>62896</v>
      </c>
      <c r="F13" s="59">
        <v>5559447</v>
      </c>
      <c r="H13" s="58" t="s">
        <v>244</v>
      </c>
      <c r="I13" s="58" t="s">
        <v>262</v>
      </c>
      <c r="J13" s="59">
        <v>11812</v>
      </c>
      <c r="K13" s="59">
        <v>68779</v>
      </c>
      <c r="L13" s="59">
        <v>446227</v>
      </c>
      <c r="M13" s="59">
        <v>7316</v>
      </c>
      <c r="N13" s="59">
        <v>534134</v>
      </c>
      <c r="O13" s="63">
        <v>475807</v>
      </c>
      <c r="P13" s="63">
        <f t="shared" si="0"/>
        <v>-58327</v>
      </c>
      <c r="S13" s="69" t="s">
        <v>244</v>
      </c>
      <c r="U13" s="71" t="s">
        <v>263</v>
      </c>
      <c r="V13" s="50">
        <v>1</v>
      </c>
    </row>
    <row r="14" s="50" customFormat="1" spans="1:22">
      <c r="A14" s="58" t="s">
        <v>100</v>
      </c>
      <c r="B14" s="59">
        <v>56671</v>
      </c>
      <c r="C14" s="59">
        <v>272669</v>
      </c>
      <c r="D14" s="59">
        <v>1828731</v>
      </c>
      <c r="E14" s="59">
        <v>48933</v>
      </c>
      <c r="F14" s="59">
        <v>2207004</v>
      </c>
      <c r="H14" s="58" t="s">
        <v>57</v>
      </c>
      <c r="I14" s="58" t="s">
        <v>264</v>
      </c>
      <c r="J14" s="59">
        <v>14228</v>
      </c>
      <c r="K14" s="59">
        <v>52475</v>
      </c>
      <c r="L14" s="59">
        <v>186755</v>
      </c>
      <c r="M14" s="59">
        <v>7985</v>
      </c>
      <c r="N14" s="59">
        <v>261443</v>
      </c>
      <c r="O14" s="63">
        <v>253974</v>
      </c>
      <c r="P14" s="63">
        <f t="shared" si="0"/>
        <v>-7469</v>
      </c>
      <c r="R14" s="50">
        <v>1</v>
      </c>
      <c r="S14" s="69" t="s">
        <v>57</v>
      </c>
      <c r="U14" s="71" t="s">
        <v>265</v>
      </c>
      <c r="V14" s="50">
        <v>1</v>
      </c>
    </row>
    <row r="15" s="50" customFormat="1" spans="1:22">
      <c r="A15" s="58" t="s">
        <v>108</v>
      </c>
      <c r="B15" s="59">
        <v>72143</v>
      </c>
      <c r="C15" s="59">
        <v>295095</v>
      </c>
      <c r="D15" s="59">
        <v>1188296</v>
      </c>
      <c r="E15" s="59">
        <v>89617</v>
      </c>
      <c r="F15" s="59">
        <v>1645151</v>
      </c>
      <c r="H15" s="58" t="s">
        <v>57</v>
      </c>
      <c r="I15" s="58" t="s">
        <v>266</v>
      </c>
      <c r="J15" s="59">
        <v>9279</v>
      </c>
      <c r="K15" s="59">
        <v>46760</v>
      </c>
      <c r="L15" s="59">
        <v>212025</v>
      </c>
      <c r="M15" s="59">
        <v>9926</v>
      </c>
      <c r="N15" s="59">
        <v>277990</v>
      </c>
      <c r="O15" s="63">
        <v>245150</v>
      </c>
      <c r="P15" s="63">
        <f t="shared" si="0"/>
        <v>-32840</v>
      </c>
      <c r="R15" s="50">
        <v>1</v>
      </c>
      <c r="S15" s="69" t="s">
        <v>57</v>
      </c>
      <c r="U15" s="71" t="s">
        <v>267</v>
      </c>
      <c r="V15" s="50">
        <v>1</v>
      </c>
    </row>
    <row r="16" s="50" customFormat="1" spans="1:22">
      <c r="A16" s="58" t="s">
        <v>113</v>
      </c>
      <c r="B16" s="59">
        <v>55838</v>
      </c>
      <c r="C16" s="59">
        <v>288003</v>
      </c>
      <c r="D16" s="59">
        <v>1343167</v>
      </c>
      <c r="E16" s="59">
        <v>29329</v>
      </c>
      <c r="F16" s="59">
        <v>1716337</v>
      </c>
      <c r="H16" s="58" t="s">
        <v>57</v>
      </c>
      <c r="I16" s="58" t="s">
        <v>268</v>
      </c>
      <c r="J16" s="59">
        <v>5742</v>
      </c>
      <c r="K16" s="59">
        <v>31575</v>
      </c>
      <c r="L16" s="59">
        <v>158587</v>
      </c>
      <c r="M16" s="59">
        <v>6992</v>
      </c>
      <c r="N16" s="59">
        <v>202896</v>
      </c>
      <c r="O16" s="63">
        <v>192701</v>
      </c>
      <c r="P16" s="63">
        <f t="shared" si="0"/>
        <v>-10195</v>
      </c>
      <c r="R16" s="50">
        <v>1</v>
      </c>
      <c r="S16" s="69" t="s">
        <v>57</v>
      </c>
      <c r="U16" s="71" t="s">
        <v>269</v>
      </c>
      <c r="V16" s="50">
        <v>1</v>
      </c>
    </row>
    <row r="17" s="50" customFormat="1" ht="14.25" spans="1:22">
      <c r="A17" s="58" t="s">
        <v>120</v>
      </c>
      <c r="B17" s="59">
        <v>43286</v>
      </c>
      <c r="C17" s="59">
        <v>280264</v>
      </c>
      <c r="D17" s="59">
        <v>1297907</v>
      </c>
      <c r="E17" s="59">
        <v>85716</v>
      </c>
      <c r="F17" s="59">
        <v>1707173</v>
      </c>
      <c r="H17" s="58" t="s">
        <v>57</v>
      </c>
      <c r="I17" s="58" t="s">
        <v>257</v>
      </c>
      <c r="J17" s="59">
        <v>3512</v>
      </c>
      <c r="K17" s="59">
        <v>12921</v>
      </c>
      <c r="L17" s="59">
        <v>100595</v>
      </c>
      <c r="M17" s="59">
        <v>6131</v>
      </c>
      <c r="N17" s="59">
        <v>123159</v>
      </c>
      <c r="O17" s="63">
        <v>128153</v>
      </c>
      <c r="P17" s="63">
        <f t="shared" si="0"/>
        <v>4994</v>
      </c>
      <c r="Q17" s="50">
        <v>1</v>
      </c>
      <c r="R17" s="50">
        <v>1</v>
      </c>
      <c r="S17" s="69" t="s">
        <v>57</v>
      </c>
      <c r="U17" s="23" t="s">
        <v>67</v>
      </c>
      <c r="V17" s="50">
        <v>1</v>
      </c>
    </row>
    <row r="18" s="50" customFormat="1" spans="1:22">
      <c r="A18" s="58" t="s">
        <v>123</v>
      </c>
      <c r="B18" s="59">
        <v>63681</v>
      </c>
      <c r="C18" s="59">
        <v>369151</v>
      </c>
      <c r="D18" s="59">
        <v>1994444</v>
      </c>
      <c r="E18" s="59">
        <v>119995</v>
      </c>
      <c r="F18" s="59">
        <v>2547271</v>
      </c>
      <c r="H18" s="58" t="s">
        <v>57</v>
      </c>
      <c r="I18" s="58" t="s">
        <v>259</v>
      </c>
      <c r="J18" s="59">
        <v>3300</v>
      </c>
      <c r="K18" s="59">
        <v>16453</v>
      </c>
      <c r="L18" s="59">
        <v>95047</v>
      </c>
      <c r="M18" s="59">
        <v>3626</v>
      </c>
      <c r="N18" s="59">
        <v>118426</v>
      </c>
      <c r="O18" s="63">
        <v>120986</v>
      </c>
      <c r="P18" s="63">
        <f t="shared" si="0"/>
        <v>2560</v>
      </c>
      <c r="Q18" s="50">
        <v>1</v>
      </c>
      <c r="R18" s="50">
        <v>1</v>
      </c>
      <c r="S18" s="69" t="s">
        <v>57</v>
      </c>
      <c r="U18" s="71" t="s">
        <v>58</v>
      </c>
      <c r="V18" s="50">
        <v>1</v>
      </c>
    </row>
    <row r="19" s="50" customFormat="1" spans="1:22">
      <c r="A19" s="58" t="s">
        <v>270</v>
      </c>
      <c r="B19" s="59">
        <v>384884</v>
      </c>
      <c r="C19" s="59">
        <v>2208359</v>
      </c>
      <c r="D19" s="59">
        <v>9083370</v>
      </c>
      <c r="E19" s="59">
        <v>98952</v>
      </c>
      <c r="F19" s="59">
        <v>11775565</v>
      </c>
      <c r="H19" s="58" t="s">
        <v>57</v>
      </c>
      <c r="I19" s="58" t="s">
        <v>261</v>
      </c>
      <c r="J19" s="59">
        <v>4871</v>
      </c>
      <c r="K19" s="59">
        <v>20922</v>
      </c>
      <c r="L19" s="59">
        <v>160405</v>
      </c>
      <c r="M19" s="59">
        <v>12803</v>
      </c>
      <c r="N19" s="59">
        <v>199001</v>
      </c>
      <c r="O19" s="63">
        <v>203502</v>
      </c>
      <c r="P19" s="63">
        <f t="shared" si="0"/>
        <v>4501</v>
      </c>
      <c r="Q19" s="50">
        <v>1</v>
      </c>
      <c r="R19" s="50">
        <v>1</v>
      </c>
      <c r="S19" s="69" t="s">
        <v>57</v>
      </c>
      <c r="U19" s="71" t="s">
        <v>271</v>
      </c>
      <c r="V19" s="50">
        <v>1</v>
      </c>
    </row>
    <row r="20" s="50" customFormat="1" ht="14.25" spans="1:22">
      <c r="A20" s="58" t="s">
        <v>272</v>
      </c>
      <c r="B20" s="59">
        <v>140997</v>
      </c>
      <c r="C20" s="59">
        <v>605695</v>
      </c>
      <c r="D20" s="59">
        <v>3615179</v>
      </c>
      <c r="E20" s="59">
        <v>55784</v>
      </c>
      <c r="F20" s="59">
        <v>4417655</v>
      </c>
      <c r="H20" s="58" t="s">
        <v>57</v>
      </c>
      <c r="I20" s="58" t="s">
        <v>263</v>
      </c>
      <c r="J20" s="59">
        <v>3400</v>
      </c>
      <c r="K20" s="59">
        <v>13007</v>
      </c>
      <c r="L20" s="59">
        <v>90392</v>
      </c>
      <c r="M20" s="59">
        <v>7202</v>
      </c>
      <c r="N20" s="59">
        <v>114001</v>
      </c>
      <c r="O20" s="63">
        <v>120021</v>
      </c>
      <c r="P20" s="63">
        <f t="shared" si="0"/>
        <v>6020</v>
      </c>
      <c r="Q20" s="50">
        <v>1</v>
      </c>
      <c r="R20" s="50">
        <v>1</v>
      </c>
      <c r="S20" s="69" t="s">
        <v>57</v>
      </c>
      <c r="U20" s="23" t="s">
        <v>70</v>
      </c>
      <c r="V20" s="50">
        <v>1</v>
      </c>
    </row>
    <row r="21" s="50" customFormat="1" spans="1:22">
      <c r="A21" s="58" t="s">
        <v>132</v>
      </c>
      <c r="B21" s="59">
        <v>55334</v>
      </c>
      <c r="C21" s="59">
        <v>274217</v>
      </c>
      <c r="D21" s="59">
        <v>1399719</v>
      </c>
      <c r="E21" s="59">
        <v>78043</v>
      </c>
      <c r="F21" s="59">
        <v>1807313</v>
      </c>
      <c r="H21" s="58" t="s">
        <v>57</v>
      </c>
      <c r="I21" s="58" t="s">
        <v>265</v>
      </c>
      <c r="J21" s="59">
        <v>4044</v>
      </c>
      <c r="K21" s="59">
        <v>18583</v>
      </c>
      <c r="L21" s="59">
        <v>89832</v>
      </c>
      <c r="M21" s="59">
        <v>7969</v>
      </c>
      <c r="N21" s="59">
        <v>120428</v>
      </c>
      <c r="O21" s="63">
        <v>126073</v>
      </c>
      <c r="P21" s="63">
        <f t="shared" si="0"/>
        <v>5645</v>
      </c>
      <c r="Q21" s="50">
        <v>1</v>
      </c>
      <c r="R21" s="50">
        <v>1</v>
      </c>
      <c r="S21" s="69" t="s">
        <v>57</v>
      </c>
      <c r="U21" s="71" t="s">
        <v>58</v>
      </c>
      <c r="V21" s="50">
        <v>1</v>
      </c>
    </row>
    <row r="22" s="50" customFormat="1" spans="1:22">
      <c r="A22" s="58" t="s">
        <v>135</v>
      </c>
      <c r="B22" s="59">
        <v>153135</v>
      </c>
      <c r="C22" s="59">
        <v>669054</v>
      </c>
      <c r="D22" s="59">
        <v>2563609</v>
      </c>
      <c r="E22" s="59">
        <v>54298</v>
      </c>
      <c r="F22" s="59">
        <v>3440096</v>
      </c>
      <c r="H22" s="58" t="s">
        <v>57</v>
      </c>
      <c r="I22" s="58" t="s">
        <v>267</v>
      </c>
      <c r="J22" s="59">
        <v>5752</v>
      </c>
      <c r="K22" s="59">
        <v>31050</v>
      </c>
      <c r="L22" s="59">
        <v>183868</v>
      </c>
      <c r="M22" s="59">
        <v>6482</v>
      </c>
      <c r="N22" s="59">
        <v>227152</v>
      </c>
      <c r="O22" s="63">
        <v>240981</v>
      </c>
      <c r="P22" s="63">
        <f t="shared" si="0"/>
        <v>13829</v>
      </c>
      <c r="Q22" s="50">
        <v>1</v>
      </c>
      <c r="R22" s="50">
        <v>1</v>
      </c>
      <c r="S22" s="69" t="s">
        <v>57</v>
      </c>
      <c r="U22" s="72" t="s">
        <v>273</v>
      </c>
      <c r="V22" s="50">
        <v>1</v>
      </c>
    </row>
    <row r="23" s="50" customFormat="1" spans="1:22">
      <c r="A23" s="58" t="s">
        <v>140</v>
      </c>
      <c r="B23" s="59">
        <v>34209</v>
      </c>
      <c r="C23" s="59">
        <v>181767</v>
      </c>
      <c r="D23" s="59">
        <v>974179</v>
      </c>
      <c r="E23" s="59">
        <v>226236</v>
      </c>
      <c r="F23" s="59">
        <v>1416391</v>
      </c>
      <c r="H23" s="58" t="s">
        <v>57</v>
      </c>
      <c r="I23" s="58" t="s">
        <v>269</v>
      </c>
      <c r="J23" s="59">
        <v>3807</v>
      </c>
      <c r="K23" s="59">
        <v>25129</v>
      </c>
      <c r="L23" s="59">
        <v>159720</v>
      </c>
      <c r="M23" s="59">
        <v>10919</v>
      </c>
      <c r="N23" s="59">
        <v>199575</v>
      </c>
      <c r="O23" s="63">
        <v>229043</v>
      </c>
      <c r="P23" s="63">
        <f t="shared" si="0"/>
        <v>29468</v>
      </c>
      <c r="Q23" s="50">
        <v>1</v>
      </c>
      <c r="R23" s="50">
        <v>1</v>
      </c>
      <c r="S23" s="69" t="s">
        <v>57</v>
      </c>
      <c r="U23" s="71" t="s">
        <v>274</v>
      </c>
      <c r="V23" s="50">
        <v>1</v>
      </c>
    </row>
    <row r="24" s="50" customFormat="1" spans="1:22">
      <c r="A24" s="58" t="s">
        <v>23</v>
      </c>
      <c r="B24" s="59">
        <v>3560259</v>
      </c>
      <c r="C24" s="59">
        <v>18326505</v>
      </c>
      <c r="D24" s="59">
        <v>79933370</v>
      </c>
      <c r="E24" s="59">
        <v>2234479</v>
      </c>
      <c r="F24" s="59">
        <v>104054613</v>
      </c>
      <c r="H24" s="58" t="s">
        <v>247</v>
      </c>
      <c r="I24" s="58" t="s">
        <v>275</v>
      </c>
      <c r="J24" s="59">
        <v>57864</v>
      </c>
      <c r="K24" s="59">
        <v>219140</v>
      </c>
      <c r="L24" s="59">
        <v>856666</v>
      </c>
      <c r="M24" s="59">
        <v>16551</v>
      </c>
      <c r="N24" s="59">
        <v>1150221</v>
      </c>
      <c r="O24" s="63">
        <v>872410</v>
      </c>
      <c r="P24" s="63">
        <f t="shared" si="0"/>
        <v>-277811</v>
      </c>
      <c r="S24" s="69" t="s">
        <v>247</v>
      </c>
      <c r="U24" s="72" t="s">
        <v>276</v>
      </c>
      <c r="V24" s="50">
        <v>1</v>
      </c>
    </row>
    <row r="25" s="51" customFormat="1" spans="1:209">
      <c r="A25" s="50"/>
      <c r="B25" s="50"/>
      <c r="C25" s="50"/>
      <c r="D25" s="50"/>
      <c r="E25" s="50"/>
      <c r="F25" s="50"/>
      <c r="G25" s="50"/>
      <c r="H25" s="58" t="s">
        <v>247</v>
      </c>
      <c r="I25" s="58" t="s">
        <v>277</v>
      </c>
      <c r="J25" s="59">
        <v>76409</v>
      </c>
      <c r="K25" s="59">
        <v>344323</v>
      </c>
      <c r="L25" s="59">
        <v>1352073</v>
      </c>
      <c r="M25" s="59">
        <v>17774</v>
      </c>
      <c r="N25" s="59">
        <v>1790579</v>
      </c>
      <c r="O25" s="63">
        <v>1200215</v>
      </c>
      <c r="P25" s="63">
        <f t="shared" si="0"/>
        <v>-590364</v>
      </c>
      <c r="Q25" s="50"/>
      <c r="R25" s="50"/>
      <c r="S25" s="69" t="s">
        <v>247</v>
      </c>
      <c r="T25" s="50"/>
      <c r="U25" s="71" t="s">
        <v>278</v>
      </c>
      <c r="V25" s="50">
        <v>1</v>
      </c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</row>
    <row r="26" s="51" customFormat="1" ht="14.25" spans="1:209">
      <c r="A26" s="50"/>
      <c r="B26" s="50"/>
      <c r="C26" s="50"/>
      <c r="D26" s="50"/>
      <c r="E26" s="50"/>
      <c r="F26" s="50"/>
      <c r="G26" s="50"/>
      <c r="H26" s="58" t="s">
        <v>247</v>
      </c>
      <c r="I26" s="58" t="s">
        <v>279</v>
      </c>
      <c r="J26" s="59">
        <v>93317</v>
      </c>
      <c r="K26" s="59">
        <v>377759</v>
      </c>
      <c r="L26" s="59">
        <v>1478168</v>
      </c>
      <c r="M26" s="59">
        <v>19864</v>
      </c>
      <c r="N26" s="59">
        <v>1969108</v>
      </c>
      <c r="O26" s="63">
        <v>1408220</v>
      </c>
      <c r="P26" s="63">
        <f t="shared" si="0"/>
        <v>-560888</v>
      </c>
      <c r="Q26" s="50"/>
      <c r="R26" s="50"/>
      <c r="S26" s="69" t="s">
        <v>247</v>
      </c>
      <c r="T26" s="50"/>
      <c r="U26" s="23" t="s">
        <v>76</v>
      </c>
      <c r="V26" s="50">
        <v>1</v>
      </c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</row>
    <row r="27" s="51" customFormat="1" spans="1:209">
      <c r="A27" s="50"/>
      <c r="B27" s="50"/>
      <c r="C27" s="50"/>
      <c r="D27" s="50"/>
      <c r="E27" s="50"/>
      <c r="F27" s="50"/>
      <c r="G27" s="50"/>
      <c r="H27" s="58" t="s">
        <v>247</v>
      </c>
      <c r="I27" s="58" t="s">
        <v>280</v>
      </c>
      <c r="J27" s="59">
        <v>182191</v>
      </c>
      <c r="K27" s="59">
        <v>844966</v>
      </c>
      <c r="L27" s="59">
        <v>3207832</v>
      </c>
      <c r="M27" s="59">
        <v>16058</v>
      </c>
      <c r="N27" s="59">
        <v>4251047</v>
      </c>
      <c r="O27" s="63">
        <v>3656929</v>
      </c>
      <c r="P27" s="63">
        <f t="shared" si="0"/>
        <v>-594118</v>
      </c>
      <c r="Q27" s="50"/>
      <c r="R27" s="50"/>
      <c r="S27" s="69" t="s">
        <v>247</v>
      </c>
      <c r="T27" s="50"/>
      <c r="U27" s="71" t="s">
        <v>58</v>
      </c>
      <c r="V27" s="50">
        <v>1</v>
      </c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</row>
    <row r="28" s="51" customFormat="1" spans="1:209">
      <c r="A28" s="50"/>
      <c r="B28" s="50"/>
      <c r="C28" s="50"/>
      <c r="D28" s="50"/>
      <c r="E28" s="50"/>
      <c r="F28" s="50"/>
      <c r="G28" s="50"/>
      <c r="H28" s="58" t="s">
        <v>247</v>
      </c>
      <c r="I28" s="58" t="s">
        <v>281</v>
      </c>
      <c r="J28" s="59">
        <v>141576</v>
      </c>
      <c r="K28" s="59">
        <v>649641</v>
      </c>
      <c r="L28" s="59">
        <v>2646665</v>
      </c>
      <c r="M28" s="59">
        <v>28026</v>
      </c>
      <c r="N28" s="59">
        <v>3465908</v>
      </c>
      <c r="O28" s="63">
        <v>3240775</v>
      </c>
      <c r="P28" s="63">
        <f t="shared" si="0"/>
        <v>-225133</v>
      </c>
      <c r="Q28" s="50"/>
      <c r="R28" s="50"/>
      <c r="S28" s="69" t="s">
        <v>247</v>
      </c>
      <c r="T28" s="50"/>
      <c r="U28" s="71" t="s">
        <v>282</v>
      </c>
      <c r="V28" s="50">
        <v>1</v>
      </c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</row>
    <row r="29" s="51" customFormat="1" spans="1:209">
      <c r="A29" s="50"/>
      <c r="B29" s="50"/>
      <c r="C29" s="50"/>
      <c r="D29" s="50"/>
      <c r="E29" s="50"/>
      <c r="F29" s="50"/>
      <c r="G29" s="50"/>
      <c r="H29" s="58" t="s">
        <v>247</v>
      </c>
      <c r="I29" s="58" t="s">
        <v>283</v>
      </c>
      <c r="J29" s="59">
        <v>8542</v>
      </c>
      <c r="K29" s="59">
        <v>34597</v>
      </c>
      <c r="L29" s="59">
        <v>154565</v>
      </c>
      <c r="M29" s="59">
        <v>2757</v>
      </c>
      <c r="N29" s="59">
        <v>200461</v>
      </c>
      <c r="O29" s="63">
        <v>162285</v>
      </c>
      <c r="P29" s="63">
        <f t="shared" si="0"/>
        <v>-38176</v>
      </c>
      <c r="Q29" s="50"/>
      <c r="R29" s="50"/>
      <c r="S29" s="69" t="s">
        <v>247</v>
      </c>
      <c r="T29" s="50"/>
      <c r="U29" s="71" t="s">
        <v>284</v>
      </c>
      <c r="V29" s="50">
        <v>1</v>
      </c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</row>
    <row r="30" s="51" customFormat="1" spans="1:209">
      <c r="A30" s="50"/>
      <c r="B30" s="50"/>
      <c r="C30" s="50"/>
      <c r="D30" s="50"/>
      <c r="E30" s="50"/>
      <c r="F30" s="50"/>
      <c r="G30" s="50"/>
      <c r="H30" s="58" t="s">
        <v>247</v>
      </c>
      <c r="I30" s="58" t="s">
        <v>285</v>
      </c>
      <c r="J30" s="59">
        <v>112400</v>
      </c>
      <c r="K30" s="59">
        <v>522217</v>
      </c>
      <c r="L30" s="59">
        <v>1850162</v>
      </c>
      <c r="M30" s="59">
        <v>15143</v>
      </c>
      <c r="N30" s="59">
        <v>2499922</v>
      </c>
      <c r="O30" s="63">
        <v>2059503</v>
      </c>
      <c r="P30" s="63">
        <f t="shared" si="0"/>
        <v>-440419</v>
      </c>
      <c r="Q30" s="50"/>
      <c r="R30" s="50"/>
      <c r="S30" s="69" t="s">
        <v>247</v>
      </c>
      <c r="T30" s="50"/>
      <c r="U30" s="71" t="s">
        <v>286</v>
      </c>
      <c r="V30" s="50">
        <v>1</v>
      </c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</row>
    <row r="31" s="51" customFormat="1" spans="1:209">
      <c r="A31" s="50"/>
      <c r="B31" s="50"/>
      <c r="C31" s="50"/>
      <c r="D31" s="50"/>
      <c r="E31" s="50"/>
      <c r="F31" s="50"/>
      <c r="G31" s="50"/>
      <c r="H31" s="58" t="s">
        <v>247</v>
      </c>
      <c r="I31" s="58" t="s">
        <v>287</v>
      </c>
      <c r="J31" s="59">
        <v>28989</v>
      </c>
      <c r="K31" s="59">
        <v>127173</v>
      </c>
      <c r="L31" s="59">
        <v>500453</v>
      </c>
      <c r="M31" s="59">
        <v>4572</v>
      </c>
      <c r="N31" s="59">
        <v>661187</v>
      </c>
      <c r="O31" s="63">
        <v>430171</v>
      </c>
      <c r="P31" s="63">
        <f t="shared" si="0"/>
        <v>-231016</v>
      </c>
      <c r="Q31" s="50"/>
      <c r="R31" s="50"/>
      <c r="S31" s="69" t="s">
        <v>247</v>
      </c>
      <c r="T31" s="50"/>
      <c r="U31" s="71" t="s">
        <v>288</v>
      </c>
      <c r="V31" s="50">
        <v>1</v>
      </c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</row>
    <row r="32" s="51" customFormat="1" spans="1:209">
      <c r="A32" s="50"/>
      <c r="B32" s="50"/>
      <c r="C32" s="50"/>
      <c r="D32" s="50"/>
      <c r="E32" s="50"/>
      <c r="F32" s="50"/>
      <c r="G32" s="50"/>
      <c r="H32" s="58" t="s">
        <v>247</v>
      </c>
      <c r="I32" s="58" t="s">
        <v>289</v>
      </c>
      <c r="J32" s="59">
        <v>47699</v>
      </c>
      <c r="K32" s="59">
        <v>206867</v>
      </c>
      <c r="L32" s="59">
        <v>872489</v>
      </c>
      <c r="M32" s="59">
        <v>4728</v>
      </c>
      <c r="N32" s="59">
        <v>1131783</v>
      </c>
      <c r="O32" s="63">
        <v>897863</v>
      </c>
      <c r="P32" s="63">
        <f t="shared" si="0"/>
        <v>-233920</v>
      </c>
      <c r="Q32" s="50"/>
      <c r="R32" s="50"/>
      <c r="S32" s="69" t="s">
        <v>247</v>
      </c>
      <c r="T32" s="50"/>
      <c r="U32" s="71" t="s">
        <v>290</v>
      </c>
      <c r="V32" s="50">
        <v>1</v>
      </c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</row>
    <row r="33" s="51" customFormat="1" ht="14.25" spans="1:209">
      <c r="A33" s="50"/>
      <c r="B33" s="50"/>
      <c r="C33" s="50"/>
      <c r="D33" s="50"/>
      <c r="E33" s="50"/>
      <c r="F33" s="50"/>
      <c r="G33" s="50"/>
      <c r="H33" s="58" t="s">
        <v>247</v>
      </c>
      <c r="I33" s="58" t="s">
        <v>291</v>
      </c>
      <c r="J33" s="59">
        <v>6135</v>
      </c>
      <c r="K33" s="59">
        <v>23434</v>
      </c>
      <c r="L33" s="59">
        <v>116282</v>
      </c>
      <c r="M33" s="59">
        <v>2457</v>
      </c>
      <c r="N33" s="59">
        <v>148308</v>
      </c>
      <c r="O33" s="63" t="e">
        <v>#N/A</v>
      </c>
      <c r="P33" s="63" t="e">
        <f t="shared" si="0"/>
        <v>#N/A</v>
      </c>
      <c r="Q33" s="50"/>
      <c r="R33" s="50"/>
      <c r="S33" s="69" t="s">
        <v>247</v>
      </c>
      <c r="T33" s="50"/>
      <c r="U33" s="23" t="s">
        <v>83</v>
      </c>
      <c r="V33" s="50">
        <v>1</v>
      </c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</row>
    <row r="34" s="51" customFormat="1" spans="1:209">
      <c r="A34" s="50"/>
      <c r="B34" s="50"/>
      <c r="C34" s="50"/>
      <c r="D34" s="50"/>
      <c r="E34" s="50"/>
      <c r="F34" s="50"/>
      <c r="G34" s="50"/>
      <c r="H34" s="58" t="s">
        <v>249</v>
      </c>
      <c r="I34" s="58" t="s">
        <v>292</v>
      </c>
      <c r="J34" s="59">
        <v>53512</v>
      </c>
      <c r="K34" s="59">
        <v>268336</v>
      </c>
      <c r="L34" s="59">
        <v>1058108</v>
      </c>
      <c r="M34" s="59">
        <v>73114</v>
      </c>
      <c r="N34" s="59">
        <v>1453070</v>
      </c>
      <c r="O34" s="63">
        <v>1049493</v>
      </c>
      <c r="P34" s="63">
        <f t="shared" si="0"/>
        <v>-403577</v>
      </c>
      <c r="Q34" s="50"/>
      <c r="R34" s="50"/>
      <c r="S34" s="69" t="s">
        <v>249</v>
      </c>
      <c r="T34" s="50"/>
      <c r="U34" s="71" t="s">
        <v>58</v>
      </c>
      <c r="V34" s="50">
        <v>1</v>
      </c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</row>
    <row r="35" s="51" customFormat="1" spans="1:209">
      <c r="A35" s="50"/>
      <c r="B35" s="50"/>
      <c r="C35" s="50"/>
      <c r="D35" s="50"/>
      <c r="E35" s="50"/>
      <c r="F35" s="50"/>
      <c r="G35" s="50"/>
      <c r="H35" s="58" t="s">
        <v>249</v>
      </c>
      <c r="I35" s="58" t="s">
        <v>293</v>
      </c>
      <c r="J35" s="59">
        <v>20036</v>
      </c>
      <c r="K35" s="59">
        <v>86794</v>
      </c>
      <c r="L35" s="59">
        <v>401226</v>
      </c>
      <c r="M35" s="59">
        <v>26350</v>
      </c>
      <c r="N35" s="59">
        <v>534406</v>
      </c>
      <c r="O35" s="63">
        <v>449469</v>
      </c>
      <c r="P35" s="63">
        <f t="shared" si="0"/>
        <v>-84937</v>
      </c>
      <c r="Q35" s="50"/>
      <c r="R35" s="50"/>
      <c r="S35" s="69" t="s">
        <v>249</v>
      </c>
      <c r="T35" s="50"/>
      <c r="U35" s="71" t="s">
        <v>294</v>
      </c>
      <c r="V35" s="50">
        <v>1</v>
      </c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</row>
    <row r="36" s="51" customFormat="1" spans="1:209">
      <c r="A36" s="50"/>
      <c r="B36" s="50"/>
      <c r="C36" s="50"/>
      <c r="D36" s="50"/>
      <c r="E36" s="50"/>
      <c r="F36" s="50"/>
      <c r="G36" s="50"/>
      <c r="H36" s="58" t="s">
        <v>249</v>
      </c>
      <c r="I36" s="58" t="s">
        <v>295</v>
      </c>
      <c r="J36" s="59">
        <v>15652</v>
      </c>
      <c r="K36" s="59">
        <v>82664</v>
      </c>
      <c r="L36" s="59">
        <v>338122</v>
      </c>
      <c r="M36" s="59">
        <v>15588</v>
      </c>
      <c r="N36" s="59">
        <v>452026</v>
      </c>
      <c r="O36" s="63">
        <v>333862</v>
      </c>
      <c r="P36" s="63">
        <f t="shared" ref="P36:P67" si="1">O36-N36</f>
        <v>-118164</v>
      </c>
      <c r="Q36" s="50"/>
      <c r="R36" s="50"/>
      <c r="S36" s="69" t="s">
        <v>249</v>
      </c>
      <c r="T36" s="50"/>
      <c r="U36" s="72" t="s">
        <v>296</v>
      </c>
      <c r="V36" s="50">
        <v>1</v>
      </c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</row>
    <row r="37" s="51" customFormat="1" spans="1:209">
      <c r="A37" s="50"/>
      <c r="B37" s="50"/>
      <c r="C37" s="50"/>
      <c r="D37" s="50"/>
      <c r="E37" s="50"/>
      <c r="F37" s="50"/>
      <c r="G37" s="50"/>
      <c r="H37" s="60" t="s">
        <v>67</v>
      </c>
      <c r="I37" s="60" t="s">
        <v>297</v>
      </c>
      <c r="J37" s="64">
        <v>23739</v>
      </c>
      <c r="K37" s="64">
        <v>110862</v>
      </c>
      <c r="L37" s="64">
        <v>394185</v>
      </c>
      <c r="M37" s="64">
        <v>3142</v>
      </c>
      <c r="N37" s="64">
        <v>531928</v>
      </c>
      <c r="O37" s="63">
        <v>446805</v>
      </c>
      <c r="P37" s="63">
        <f t="shared" si="1"/>
        <v>-85123</v>
      </c>
      <c r="Q37" s="50"/>
      <c r="R37" s="50">
        <v>1</v>
      </c>
      <c r="S37" s="69" t="s">
        <v>67</v>
      </c>
      <c r="T37" s="50"/>
      <c r="U37" s="71" t="s">
        <v>298</v>
      </c>
      <c r="V37" s="50">
        <v>1</v>
      </c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50"/>
      <c r="FE37" s="50"/>
      <c r="FF37" s="50"/>
      <c r="FG37" s="50"/>
      <c r="FH37" s="50"/>
      <c r="FI37" s="50"/>
      <c r="FJ37" s="50"/>
      <c r="FK37" s="50"/>
      <c r="FL37" s="50"/>
      <c r="FM37" s="50"/>
      <c r="FN37" s="50"/>
      <c r="FO37" s="50"/>
      <c r="FP37" s="50"/>
      <c r="FQ37" s="50"/>
      <c r="FR37" s="50"/>
      <c r="FS37" s="50"/>
      <c r="FT37" s="50"/>
      <c r="FU37" s="50"/>
      <c r="FV37" s="50"/>
      <c r="FW37" s="50"/>
      <c r="FX37" s="50"/>
      <c r="FY37" s="50"/>
      <c r="FZ37" s="50"/>
      <c r="GA37" s="50"/>
      <c r="GB37" s="50"/>
      <c r="GC37" s="50"/>
      <c r="GD37" s="50"/>
      <c r="GE37" s="50"/>
      <c r="GF37" s="50"/>
      <c r="GG37" s="50"/>
      <c r="GH37" s="50"/>
      <c r="GI37" s="50"/>
      <c r="GJ37" s="50"/>
      <c r="GK37" s="50"/>
      <c r="GL37" s="50"/>
      <c r="GM37" s="50"/>
      <c r="GN37" s="50"/>
      <c r="GO37" s="50"/>
      <c r="GP37" s="50"/>
      <c r="GQ37" s="50"/>
      <c r="GR37" s="50"/>
      <c r="GS37" s="50"/>
      <c r="GT37" s="50"/>
      <c r="GU37" s="50"/>
      <c r="GV37" s="50"/>
      <c r="GW37" s="50"/>
      <c r="GX37" s="50"/>
      <c r="GY37" s="50"/>
      <c r="GZ37" s="50"/>
      <c r="HA37" s="50"/>
    </row>
    <row r="38" s="51" customFormat="1" ht="14.25" spans="1:209">
      <c r="A38" s="50"/>
      <c r="B38" s="50"/>
      <c r="C38" s="50"/>
      <c r="D38" s="50"/>
      <c r="E38" s="50"/>
      <c r="F38" s="50"/>
      <c r="G38" s="50"/>
      <c r="H38" s="60" t="s">
        <v>67</v>
      </c>
      <c r="I38" s="60" t="s">
        <v>299</v>
      </c>
      <c r="J38" s="64">
        <v>25035</v>
      </c>
      <c r="K38" s="64">
        <v>109663</v>
      </c>
      <c r="L38" s="64">
        <v>488290</v>
      </c>
      <c r="M38" s="64">
        <v>7739</v>
      </c>
      <c r="N38" s="64">
        <v>630727</v>
      </c>
      <c r="O38" s="63">
        <v>551138</v>
      </c>
      <c r="P38" s="63">
        <f t="shared" si="1"/>
        <v>-79589</v>
      </c>
      <c r="Q38" s="50"/>
      <c r="R38" s="50">
        <v>1</v>
      </c>
      <c r="S38" s="69" t="s">
        <v>67</v>
      </c>
      <c r="T38" s="50"/>
      <c r="U38" s="23" t="s">
        <v>88</v>
      </c>
      <c r="V38" s="50">
        <v>1</v>
      </c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50"/>
      <c r="EY38" s="50"/>
      <c r="EZ38" s="50"/>
      <c r="FA38" s="50"/>
      <c r="FB38" s="50"/>
      <c r="FC38" s="50"/>
      <c r="FD38" s="50"/>
      <c r="FE38" s="50"/>
      <c r="FF38" s="50"/>
      <c r="FG38" s="50"/>
      <c r="FH38" s="50"/>
      <c r="FI38" s="50"/>
      <c r="FJ38" s="50"/>
      <c r="FK38" s="50"/>
      <c r="FL38" s="50"/>
      <c r="FM38" s="50"/>
      <c r="FN38" s="50"/>
      <c r="FO38" s="50"/>
      <c r="FP38" s="50"/>
      <c r="FQ38" s="50"/>
      <c r="FR38" s="50"/>
      <c r="FS38" s="50"/>
      <c r="FT38" s="50"/>
      <c r="FU38" s="50"/>
      <c r="FV38" s="50"/>
      <c r="FW38" s="50"/>
      <c r="FX38" s="50"/>
      <c r="FY38" s="50"/>
      <c r="FZ38" s="50"/>
      <c r="GA38" s="50"/>
      <c r="GB38" s="50"/>
      <c r="GC38" s="50"/>
      <c r="GD38" s="50"/>
      <c r="GE38" s="50"/>
      <c r="GF38" s="50"/>
      <c r="GG38" s="50"/>
      <c r="GH38" s="50"/>
      <c r="GI38" s="50"/>
      <c r="GJ38" s="50"/>
      <c r="GK38" s="50"/>
      <c r="GL38" s="50"/>
      <c r="GM38" s="50"/>
      <c r="GN38" s="50"/>
      <c r="GO38" s="50"/>
      <c r="GP38" s="50"/>
      <c r="GQ38" s="50"/>
      <c r="GR38" s="50"/>
      <c r="GS38" s="50"/>
      <c r="GT38" s="50"/>
      <c r="GU38" s="50"/>
      <c r="GV38" s="50"/>
      <c r="GW38" s="50"/>
      <c r="GX38" s="50"/>
      <c r="GY38" s="50"/>
      <c r="GZ38" s="50"/>
      <c r="HA38" s="50"/>
    </row>
    <row r="39" s="51" customFormat="1" spans="1:209">
      <c r="A39" s="50"/>
      <c r="B39" s="50"/>
      <c r="C39" s="50"/>
      <c r="D39" s="50"/>
      <c r="E39" s="50"/>
      <c r="F39" s="50"/>
      <c r="G39" s="50"/>
      <c r="H39" s="60" t="s">
        <v>67</v>
      </c>
      <c r="I39" s="60" t="s">
        <v>300</v>
      </c>
      <c r="J39" s="64">
        <v>8840</v>
      </c>
      <c r="K39" s="64">
        <v>36535</v>
      </c>
      <c r="L39" s="64">
        <v>140693</v>
      </c>
      <c r="M39" s="64">
        <v>1338</v>
      </c>
      <c r="N39" s="64">
        <v>187406</v>
      </c>
      <c r="O39" s="63">
        <v>170665</v>
      </c>
      <c r="P39" s="63">
        <f t="shared" si="1"/>
        <v>-16741</v>
      </c>
      <c r="Q39" s="50"/>
      <c r="R39" s="50">
        <v>1</v>
      </c>
      <c r="S39" s="69" t="s">
        <v>67</v>
      </c>
      <c r="T39" s="50"/>
      <c r="U39" s="71" t="s">
        <v>58</v>
      </c>
      <c r="V39" s="50">
        <v>1</v>
      </c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  <c r="EN39" s="50"/>
      <c r="EO39" s="50"/>
      <c r="EP39" s="50"/>
      <c r="EQ39" s="50"/>
      <c r="ER39" s="50"/>
      <c r="ES39" s="50"/>
      <c r="ET39" s="50"/>
      <c r="EU39" s="50"/>
      <c r="EV39" s="50"/>
      <c r="EW39" s="50"/>
      <c r="EX39" s="50"/>
      <c r="EY39" s="50"/>
      <c r="EZ39" s="50"/>
      <c r="FA39" s="50"/>
      <c r="FB39" s="50"/>
      <c r="FC39" s="50"/>
      <c r="FD39" s="50"/>
      <c r="FE39" s="50"/>
      <c r="FF39" s="50"/>
      <c r="FG39" s="50"/>
      <c r="FH39" s="50"/>
      <c r="FI39" s="50"/>
      <c r="FJ39" s="50"/>
      <c r="FK39" s="50"/>
      <c r="FL39" s="50"/>
      <c r="FM39" s="50"/>
      <c r="FN39" s="50"/>
      <c r="FO39" s="50"/>
      <c r="FP39" s="50"/>
      <c r="FQ39" s="50"/>
      <c r="FR39" s="50"/>
      <c r="FS39" s="50"/>
      <c r="FT39" s="50"/>
      <c r="FU39" s="50"/>
      <c r="FV39" s="50"/>
      <c r="FW39" s="50"/>
      <c r="FX39" s="50"/>
      <c r="FY39" s="50"/>
      <c r="FZ39" s="50"/>
      <c r="GA39" s="50"/>
      <c r="GB39" s="50"/>
      <c r="GC39" s="50"/>
      <c r="GD39" s="50"/>
      <c r="GE39" s="50"/>
      <c r="GF39" s="50"/>
      <c r="GG39" s="50"/>
      <c r="GH39" s="50"/>
      <c r="GI39" s="50"/>
      <c r="GJ39" s="50"/>
      <c r="GK39" s="50"/>
      <c r="GL39" s="50"/>
      <c r="GM39" s="50"/>
      <c r="GN39" s="50"/>
      <c r="GO39" s="50"/>
      <c r="GP39" s="50"/>
      <c r="GQ39" s="50"/>
      <c r="GR39" s="50"/>
      <c r="GS39" s="50"/>
      <c r="GT39" s="50"/>
      <c r="GU39" s="50"/>
      <c r="GV39" s="50"/>
      <c r="GW39" s="50"/>
      <c r="GX39" s="50"/>
      <c r="GY39" s="50"/>
      <c r="GZ39" s="50"/>
      <c r="HA39" s="50"/>
    </row>
    <row r="40" s="51" customFormat="1" spans="1:209">
      <c r="A40" s="50"/>
      <c r="B40" s="50"/>
      <c r="C40" s="50"/>
      <c r="D40" s="50"/>
      <c r="E40" s="50"/>
      <c r="F40" s="50"/>
      <c r="G40" s="50"/>
      <c r="H40" s="60" t="s">
        <v>67</v>
      </c>
      <c r="I40" s="60" t="s">
        <v>301</v>
      </c>
      <c r="J40" s="64">
        <v>33241</v>
      </c>
      <c r="K40" s="64">
        <v>161420</v>
      </c>
      <c r="L40" s="64">
        <v>767720</v>
      </c>
      <c r="M40" s="64">
        <v>9330</v>
      </c>
      <c r="N40" s="65">
        <v>971711</v>
      </c>
      <c r="O40" s="66">
        <v>1025369</v>
      </c>
      <c r="P40" s="66">
        <f t="shared" si="1"/>
        <v>53658</v>
      </c>
      <c r="Q40" s="50"/>
      <c r="R40" s="50">
        <v>1</v>
      </c>
      <c r="S40" s="69" t="s">
        <v>67</v>
      </c>
      <c r="T40" s="50"/>
      <c r="U40" s="71" t="s">
        <v>302</v>
      </c>
      <c r="V40" s="50">
        <v>1</v>
      </c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50"/>
      <c r="FM40" s="50"/>
      <c r="FN40" s="50"/>
      <c r="FO40" s="50"/>
      <c r="FP40" s="50"/>
      <c r="FQ40" s="50"/>
      <c r="FR40" s="50"/>
      <c r="FS40" s="50"/>
      <c r="FT40" s="50"/>
      <c r="FU40" s="50"/>
      <c r="FV40" s="50"/>
      <c r="FW40" s="50"/>
      <c r="FX40" s="50"/>
      <c r="FY40" s="50"/>
      <c r="FZ40" s="50"/>
      <c r="GA40" s="50"/>
      <c r="GB40" s="50"/>
      <c r="GC40" s="50"/>
      <c r="GD40" s="50"/>
      <c r="GE40" s="50"/>
      <c r="GF40" s="50"/>
      <c r="GG40" s="50"/>
      <c r="GH40" s="50"/>
      <c r="GI40" s="50"/>
      <c r="GJ40" s="50"/>
      <c r="GK40" s="50"/>
      <c r="GL40" s="50"/>
      <c r="GM40" s="50"/>
      <c r="GN40" s="50"/>
      <c r="GO40" s="50"/>
      <c r="GP40" s="50"/>
      <c r="GQ40" s="50"/>
      <c r="GR40" s="50"/>
      <c r="GS40" s="50"/>
      <c r="GT40" s="50"/>
      <c r="GU40" s="50"/>
      <c r="GV40" s="50"/>
      <c r="GW40" s="50"/>
      <c r="GX40" s="50"/>
      <c r="GY40" s="50"/>
      <c r="GZ40" s="50"/>
      <c r="HA40" s="50"/>
    </row>
    <row r="41" s="51" customFormat="1" spans="1:209">
      <c r="A41" s="50"/>
      <c r="B41" s="50"/>
      <c r="C41" s="50"/>
      <c r="D41" s="50"/>
      <c r="E41" s="50"/>
      <c r="F41" s="50"/>
      <c r="G41" s="50"/>
      <c r="H41" s="60" t="s">
        <v>67</v>
      </c>
      <c r="I41" s="60" t="s">
        <v>303</v>
      </c>
      <c r="J41" s="64">
        <v>34451</v>
      </c>
      <c r="K41" s="64">
        <v>134429</v>
      </c>
      <c r="L41" s="64">
        <v>599818</v>
      </c>
      <c r="M41" s="64">
        <v>504</v>
      </c>
      <c r="N41" s="64">
        <v>769202</v>
      </c>
      <c r="O41" s="63">
        <v>744957</v>
      </c>
      <c r="P41" s="63">
        <f t="shared" si="1"/>
        <v>-24245</v>
      </c>
      <c r="Q41" s="50"/>
      <c r="R41" s="50">
        <v>1</v>
      </c>
      <c r="S41" s="69" t="s">
        <v>67</v>
      </c>
      <c r="T41" s="50"/>
      <c r="U41" s="72" t="s">
        <v>304</v>
      </c>
      <c r="V41" s="50">
        <v>1</v>
      </c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</row>
    <row r="42" s="51" customFormat="1" spans="1:209">
      <c r="A42" s="50"/>
      <c r="B42" s="50"/>
      <c r="C42" s="50"/>
      <c r="D42" s="50"/>
      <c r="E42" s="50"/>
      <c r="F42" s="50"/>
      <c r="G42" s="50"/>
      <c r="H42" s="60" t="s">
        <v>67</v>
      </c>
      <c r="I42" s="60" t="s">
        <v>305</v>
      </c>
      <c r="J42" s="64">
        <v>26682</v>
      </c>
      <c r="K42" s="64">
        <v>125351</v>
      </c>
      <c r="L42" s="64">
        <v>526822</v>
      </c>
      <c r="M42" s="64">
        <v>2374</v>
      </c>
      <c r="N42" s="64">
        <v>681229</v>
      </c>
      <c r="O42" s="63">
        <v>620486</v>
      </c>
      <c r="P42" s="63">
        <f t="shared" si="1"/>
        <v>-60743</v>
      </c>
      <c r="Q42" s="50"/>
      <c r="R42" s="50">
        <v>1</v>
      </c>
      <c r="S42" s="69" t="s">
        <v>67</v>
      </c>
      <c r="T42" s="50"/>
      <c r="U42" s="71" t="s">
        <v>306</v>
      </c>
      <c r="V42" s="50">
        <v>1</v>
      </c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  <c r="FK42" s="50"/>
      <c r="FL42" s="50"/>
      <c r="FM42" s="50"/>
      <c r="FN42" s="50"/>
      <c r="FO42" s="50"/>
      <c r="FP42" s="50"/>
      <c r="FQ42" s="50"/>
      <c r="FR42" s="50"/>
      <c r="FS42" s="50"/>
      <c r="FT42" s="50"/>
      <c r="FU42" s="50"/>
      <c r="FV42" s="50"/>
      <c r="FW42" s="50"/>
      <c r="FX42" s="50"/>
      <c r="FY42" s="50"/>
      <c r="FZ42" s="50"/>
      <c r="GA42" s="50"/>
      <c r="GB42" s="50"/>
      <c r="GC42" s="50"/>
      <c r="GD42" s="50"/>
      <c r="GE42" s="50"/>
      <c r="GF42" s="50"/>
      <c r="GG42" s="50"/>
      <c r="GH42" s="50"/>
      <c r="GI42" s="50"/>
      <c r="GJ42" s="50"/>
      <c r="GK42" s="50"/>
      <c r="GL42" s="50"/>
      <c r="GM42" s="50"/>
      <c r="GN42" s="50"/>
      <c r="GO42" s="50"/>
      <c r="GP42" s="50"/>
      <c r="GQ42" s="50"/>
      <c r="GR42" s="50"/>
      <c r="GS42" s="50"/>
      <c r="GT42" s="50"/>
      <c r="GU42" s="50"/>
      <c r="GV42" s="50"/>
      <c r="GW42" s="50"/>
      <c r="GX42" s="50"/>
      <c r="GY42" s="50"/>
      <c r="GZ42" s="50"/>
      <c r="HA42" s="50"/>
    </row>
    <row r="43" s="51" customFormat="1" spans="1:209">
      <c r="A43" s="50"/>
      <c r="B43" s="50"/>
      <c r="C43" s="50"/>
      <c r="D43" s="50"/>
      <c r="E43" s="50"/>
      <c r="F43" s="50"/>
      <c r="G43" s="50"/>
      <c r="H43" s="60" t="s">
        <v>67</v>
      </c>
      <c r="I43" s="60" t="s">
        <v>271</v>
      </c>
      <c r="J43" s="64">
        <v>2414</v>
      </c>
      <c r="K43" s="64">
        <v>8085</v>
      </c>
      <c r="L43" s="64">
        <v>35967</v>
      </c>
      <c r="M43" s="64">
        <v>1203</v>
      </c>
      <c r="N43" s="64">
        <v>47669</v>
      </c>
      <c r="O43" s="63">
        <v>46196</v>
      </c>
      <c r="P43" s="63">
        <f t="shared" si="1"/>
        <v>-1473</v>
      </c>
      <c r="Q43" s="50">
        <v>1</v>
      </c>
      <c r="R43" s="50">
        <v>1</v>
      </c>
      <c r="S43" s="69" t="s">
        <v>67</v>
      </c>
      <c r="T43" s="50"/>
      <c r="U43" s="72" t="s">
        <v>307</v>
      </c>
      <c r="V43" s="50">
        <v>1</v>
      </c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50"/>
      <c r="FK43" s="50"/>
      <c r="FL43" s="50"/>
      <c r="FM43" s="50"/>
      <c r="FN43" s="50"/>
      <c r="FO43" s="50"/>
      <c r="FP43" s="50"/>
      <c r="FQ43" s="50"/>
      <c r="FR43" s="50"/>
      <c r="FS43" s="50"/>
      <c r="FT43" s="50"/>
      <c r="FU43" s="50"/>
      <c r="FV43" s="50"/>
      <c r="FW43" s="50"/>
      <c r="FX43" s="50"/>
      <c r="FY43" s="50"/>
      <c r="FZ43" s="50"/>
      <c r="GA43" s="50"/>
      <c r="GB43" s="50"/>
      <c r="GC43" s="50"/>
      <c r="GD43" s="50"/>
      <c r="GE43" s="50"/>
      <c r="GF43" s="50"/>
      <c r="GG43" s="50"/>
      <c r="GH43" s="50"/>
      <c r="GI43" s="50"/>
      <c r="GJ43" s="50"/>
      <c r="GK43" s="50"/>
      <c r="GL43" s="50"/>
      <c r="GM43" s="50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</row>
    <row r="44" s="51" customFormat="1" spans="1:209">
      <c r="A44" s="50"/>
      <c r="B44" s="50"/>
      <c r="C44" s="50"/>
      <c r="D44" s="50"/>
      <c r="E44" s="50"/>
      <c r="F44" s="50"/>
      <c r="G44" s="50"/>
      <c r="H44" s="60" t="s">
        <v>108</v>
      </c>
      <c r="I44" s="60" t="s">
        <v>308</v>
      </c>
      <c r="J44" s="59">
        <v>11959</v>
      </c>
      <c r="K44" s="59">
        <v>46807</v>
      </c>
      <c r="L44" s="59">
        <v>242054</v>
      </c>
      <c r="M44" s="59">
        <v>19686</v>
      </c>
      <c r="N44" s="59">
        <v>320506</v>
      </c>
      <c r="O44" s="63" t="e">
        <v>#N/A</v>
      </c>
      <c r="P44" s="63" t="e">
        <f t="shared" si="1"/>
        <v>#N/A</v>
      </c>
      <c r="Q44" s="50"/>
      <c r="R44" s="50">
        <v>1</v>
      </c>
      <c r="S44" s="69" t="s">
        <v>108</v>
      </c>
      <c r="T44" s="50"/>
      <c r="U44" s="71" t="s">
        <v>309</v>
      </c>
      <c r="V44" s="50">
        <v>1</v>
      </c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  <c r="FK44" s="50"/>
      <c r="FL44" s="50"/>
      <c r="FM44" s="50"/>
      <c r="FN44" s="50"/>
      <c r="FO44" s="50"/>
      <c r="FP44" s="50"/>
      <c r="FQ44" s="50"/>
      <c r="FR44" s="50"/>
      <c r="FS44" s="50"/>
      <c r="FT44" s="50"/>
      <c r="FU44" s="50"/>
      <c r="FV44" s="50"/>
      <c r="FW44" s="50"/>
      <c r="FX44" s="50"/>
      <c r="FY44" s="50"/>
      <c r="FZ44" s="50"/>
      <c r="GA44" s="50"/>
      <c r="GB44" s="50"/>
      <c r="GC44" s="50"/>
      <c r="GD44" s="50"/>
      <c r="GE44" s="50"/>
      <c r="GF44" s="50"/>
      <c r="GG44" s="50"/>
      <c r="GH44" s="50"/>
      <c r="GI44" s="50"/>
      <c r="GJ44" s="50"/>
      <c r="GK44" s="50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</row>
    <row r="45" s="51" customFormat="1" ht="14.25" spans="1:209">
      <c r="A45" s="50"/>
      <c r="B45" s="50"/>
      <c r="C45" s="50"/>
      <c r="D45" s="50"/>
      <c r="E45" s="50"/>
      <c r="F45" s="50"/>
      <c r="G45" s="50"/>
      <c r="H45" s="60" t="s">
        <v>108</v>
      </c>
      <c r="I45" s="60" t="s">
        <v>310</v>
      </c>
      <c r="J45" s="59">
        <v>23199</v>
      </c>
      <c r="K45" s="59">
        <v>97139</v>
      </c>
      <c r="L45" s="59">
        <v>403440</v>
      </c>
      <c r="M45" s="59">
        <v>17585</v>
      </c>
      <c r="N45" s="59">
        <v>541363</v>
      </c>
      <c r="O45" s="63">
        <v>518269</v>
      </c>
      <c r="P45" s="63">
        <f t="shared" si="1"/>
        <v>-23094</v>
      </c>
      <c r="Q45" s="50">
        <v>1</v>
      </c>
      <c r="R45" s="50">
        <v>1</v>
      </c>
      <c r="S45" s="69" t="s">
        <v>108</v>
      </c>
      <c r="T45" s="50"/>
      <c r="U45" s="23" t="s">
        <v>95</v>
      </c>
      <c r="V45" s="50">
        <v>1</v>
      </c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/>
      <c r="EM45" s="50"/>
      <c r="EN45" s="50"/>
      <c r="EO45" s="50"/>
      <c r="EP45" s="50"/>
      <c r="EQ45" s="50"/>
      <c r="ER45" s="50"/>
      <c r="ES45" s="50"/>
      <c r="ET45" s="50"/>
      <c r="EU45" s="50"/>
      <c r="EV45" s="50"/>
      <c r="EW45" s="50"/>
      <c r="EX45" s="50"/>
      <c r="EY45" s="50"/>
      <c r="EZ45" s="50"/>
      <c r="FA45" s="50"/>
      <c r="FB45" s="50"/>
      <c r="FC45" s="50"/>
      <c r="FD45" s="50"/>
      <c r="FE45" s="50"/>
      <c r="FF45" s="50"/>
      <c r="FG45" s="50"/>
      <c r="FH45" s="50"/>
      <c r="FI45" s="50"/>
      <c r="FJ45" s="50"/>
      <c r="FK45" s="50"/>
      <c r="FL45" s="50"/>
      <c r="FM45" s="50"/>
      <c r="FN45" s="50"/>
      <c r="FO45" s="50"/>
      <c r="FP45" s="50"/>
      <c r="FQ45" s="50"/>
      <c r="FR45" s="50"/>
      <c r="FS45" s="50"/>
      <c r="FT45" s="50"/>
      <c r="FU45" s="50"/>
      <c r="FV45" s="50"/>
      <c r="FW45" s="50"/>
      <c r="FX45" s="50"/>
      <c r="FY45" s="50"/>
      <c r="FZ45" s="50"/>
      <c r="GA45" s="50"/>
      <c r="GB45" s="50"/>
      <c r="GC45" s="50"/>
      <c r="GD45" s="50"/>
      <c r="GE45" s="50"/>
      <c r="GF45" s="50"/>
      <c r="GG45" s="50"/>
      <c r="GH45" s="50"/>
      <c r="GI45" s="50"/>
      <c r="GJ45" s="50"/>
      <c r="GK45" s="50"/>
      <c r="GL45" s="50"/>
      <c r="GM45" s="50"/>
      <c r="GN45" s="50"/>
      <c r="GO45" s="50"/>
      <c r="GP45" s="50"/>
      <c r="GQ45" s="50"/>
      <c r="GR45" s="50"/>
      <c r="GS45" s="50"/>
      <c r="GT45" s="50"/>
      <c r="GU45" s="50"/>
      <c r="GV45" s="50"/>
      <c r="GW45" s="50"/>
      <c r="GX45" s="50"/>
      <c r="GY45" s="50"/>
      <c r="GZ45" s="50"/>
      <c r="HA45" s="50"/>
    </row>
    <row r="46" s="51" customFormat="1" spans="1:209">
      <c r="A46" s="50"/>
      <c r="B46" s="50"/>
      <c r="C46" s="50"/>
      <c r="D46" s="50"/>
      <c r="E46" s="50"/>
      <c r="F46" s="50"/>
      <c r="G46" s="50"/>
      <c r="H46" s="60" t="s">
        <v>108</v>
      </c>
      <c r="I46" s="60" t="s">
        <v>311</v>
      </c>
      <c r="J46" s="59">
        <v>6848</v>
      </c>
      <c r="K46" s="59">
        <v>22229</v>
      </c>
      <c r="L46" s="59">
        <v>100005</v>
      </c>
      <c r="M46" s="59">
        <v>27969</v>
      </c>
      <c r="N46" s="59">
        <v>157051</v>
      </c>
      <c r="O46" s="63">
        <v>148211</v>
      </c>
      <c r="P46" s="63">
        <f t="shared" si="1"/>
        <v>-8840</v>
      </c>
      <c r="Q46" s="50">
        <v>1</v>
      </c>
      <c r="R46" s="50">
        <v>1</v>
      </c>
      <c r="S46" s="69" t="s">
        <v>108</v>
      </c>
      <c r="T46" s="50"/>
      <c r="U46" s="71" t="s">
        <v>58</v>
      </c>
      <c r="V46" s="50">
        <v>1</v>
      </c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  <c r="ET46" s="50"/>
      <c r="EU46" s="50"/>
      <c r="EV46" s="50"/>
      <c r="EW46" s="50"/>
      <c r="EX46" s="50"/>
      <c r="EY46" s="50"/>
      <c r="EZ46" s="50"/>
      <c r="FA46" s="50"/>
      <c r="FB46" s="50"/>
      <c r="FC46" s="50"/>
      <c r="FD46" s="50"/>
      <c r="FE46" s="50"/>
      <c r="FF46" s="50"/>
      <c r="FG46" s="50"/>
      <c r="FH46" s="50"/>
      <c r="FI46" s="50"/>
      <c r="FJ46" s="50"/>
      <c r="FK46" s="50"/>
      <c r="FL46" s="50"/>
      <c r="FM46" s="50"/>
      <c r="FN46" s="50"/>
      <c r="FO46" s="50"/>
      <c r="FP46" s="50"/>
      <c r="FQ46" s="50"/>
      <c r="FR46" s="50"/>
      <c r="FS46" s="50"/>
      <c r="FT46" s="50"/>
      <c r="FU46" s="50"/>
      <c r="FV46" s="50"/>
      <c r="FW46" s="50"/>
      <c r="FX46" s="50"/>
      <c r="FY46" s="50"/>
      <c r="FZ46" s="50"/>
      <c r="GA46" s="50"/>
      <c r="GB46" s="50"/>
      <c r="GC46" s="50"/>
      <c r="GD46" s="50"/>
      <c r="GE46" s="50"/>
      <c r="GF46" s="50"/>
      <c r="GG46" s="50"/>
      <c r="GH46" s="50"/>
      <c r="GI46" s="50"/>
      <c r="GJ46" s="50"/>
      <c r="GK46" s="50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50"/>
      <c r="GW46" s="50"/>
      <c r="GX46" s="50"/>
      <c r="GY46" s="50"/>
      <c r="GZ46" s="50"/>
      <c r="HA46" s="50"/>
    </row>
    <row r="47" s="51" customFormat="1" spans="1:209">
      <c r="A47" s="50"/>
      <c r="B47" s="50"/>
      <c r="C47" s="50"/>
      <c r="D47" s="50"/>
      <c r="E47" s="50"/>
      <c r="F47" s="50"/>
      <c r="G47" s="50"/>
      <c r="H47" s="60" t="s">
        <v>108</v>
      </c>
      <c r="I47" s="60" t="s">
        <v>312</v>
      </c>
      <c r="J47" s="59">
        <v>30137</v>
      </c>
      <c r="K47" s="59">
        <v>128920</v>
      </c>
      <c r="L47" s="59">
        <v>442797</v>
      </c>
      <c r="M47" s="59">
        <v>24377</v>
      </c>
      <c r="N47" s="59">
        <v>626231</v>
      </c>
      <c r="O47" s="63">
        <v>722698</v>
      </c>
      <c r="P47" s="63">
        <f t="shared" si="1"/>
        <v>96467</v>
      </c>
      <c r="Q47" s="50">
        <v>1</v>
      </c>
      <c r="R47" s="50">
        <v>1</v>
      </c>
      <c r="S47" s="69" t="s">
        <v>108</v>
      </c>
      <c r="T47" s="50"/>
      <c r="U47" s="71" t="s">
        <v>313</v>
      </c>
      <c r="V47" s="50">
        <v>1</v>
      </c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0"/>
      <c r="DR47" s="50"/>
      <c r="DS47" s="50"/>
      <c r="DT47" s="50"/>
      <c r="DU47" s="50"/>
      <c r="DV47" s="50"/>
      <c r="DW47" s="50"/>
      <c r="DX47" s="50"/>
      <c r="DY47" s="50"/>
      <c r="DZ47" s="50"/>
      <c r="EA47" s="50"/>
      <c r="EB47" s="50"/>
      <c r="EC47" s="50"/>
      <c r="ED47" s="50"/>
      <c r="EE47" s="50"/>
      <c r="EF47" s="50"/>
      <c r="EG47" s="50"/>
      <c r="EH47" s="50"/>
      <c r="EI47" s="50"/>
      <c r="EJ47" s="50"/>
      <c r="EK47" s="50"/>
      <c r="EL47" s="50"/>
      <c r="EM47" s="50"/>
      <c r="EN47" s="50"/>
      <c r="EO47" s="50"/>
      <c r="EP47" s="50"/>
      <c r="EQ47" s="50"/>
      <c r="ER47" s="50"/>
      <c r="ES47" s="50"/>
      <c r="ET47" s="50"/>
      <c r="EU47" s="50"/>
      <c r="EV47" s="50"/>
      <c r="EW47" s="50"/>
      <c r="EX47" s="50"/>
      <c r="EY47" s="50"/>
      <c r="EZ47" s="50"/>
      <c r="FA47" s="50"/>
      <c r="FB47" s="50"/>
      <c r="FC47" s="50"/>
      <c r="FD47" s="50"/>
      <c r="FE47" s="50"/>
      <c r="FF47" s="50"/>
      <c r="FG47" s="50"/>
      <c r="FH47" s="50"/>
      <c r="FI47" s="50"/>
      <c r="FJ47" s="50"/>
      <c r="FK47" s="50"/>
      <c r="FL47" s="50"/>
      <c r="FM47" s="50"/>
      <c r="FN47" s="50"/>
      <c r="FO47" s="50"/>
      <c r="FP47" s="50"/>
      <c r="FQ47" s="50"/>
      <c r="FR47" s="50"/>
      <c r="FS47" s="50"/>
      <c r="FT47" s="50"/>
      <c r="FU47" s="50"/>
      <c r="FV47" s="50"/>
      <c r="FW47" s="50"/>
      <c r="FX47" s="50"/>
      <c r="FY47" s="50"/>
      <c r="FZ47" s="50"/>
      <c r="GA47" s="50"/>
      <c r="GB47" s="50"/>
      <c r="GC47" s="50"/>
      <c r="GD47" s="50"/>
      <c r="GE47" s="50"/>
      <c r="GF47" s="50"/>
      <c r="GG47" s="50"/>
      <c r="GH47" s="50"/>
      <c r="GI47" s="50"/>
      <c r="GJ47" s="50"/>
      <c r="GK47" s="50"/>
      <c r="GL47" s="50"/>
      <c r="GM47" s="50"/>
      <c r="GN47" s="50"/>
      <c r="GO47" s="50"/>
      <c r="GP47" s="50"/>
      <c r="GQ47" s="50"/>
      <c r="GR47" s="50"/>
      <c r="GS47" s="50"/>
      <c r="GT47" s="50"/>
      <c r="GU47" s="50"/>
      <c r="GV47" s="50"/>
      <c r="GW47" s="50"/>
      <c r="GX47" s="50"/>
      <c r="GY47" s="50"/>
      <c r="GZ47" s="50"/>
      <c r="HA47" s="50"/>
    </row>
    <row r="48" s="51" customFormat="1" spans="1:209">
      <c r="A48" s="50"/>
      <c r="B48" s="50"/>
      <c r="C48" s="50"/>
      <c r="D48" s="50"/>
      <c r="E48" s="50"/>
      <c r="F48" s="50"/>
      <c r="G48" s="50"/>
      <c r="H48" s="58" t="s">
        <v>123</v>
      </c>
      <c r="I48" s="58" t="s">
        <v>314</v>
      </c>
      <c r="J48" s="59">
        <v>25517</v>
      </c>
      <c r="K48" s="59">
        <v>146700</v>
      </c>
      <c r="L48" s="59">
        <v>632472</v>
      </c>
      <c r="M48" s="59">
        <v>38001</v>
      </c>
      <c r="N48" s="59">
        <v>842690</v>
      </c>
      <c r="O48" s="63">
        <v>744522</v>
      </c>
      <c r="P48" s="63">
        <f t="shared" si="1"/>
        <v>-98168</v>
      </c>
      <c r="Q48" s="50"/>
      <c r="R48" s="50">
        <v>1</v>
      </c>
      <c r="S48" s="69" t="s">
        <v>123</v>
      </c>
      <c r="T48" s="50"/>
      <c r="U48" s="71" t="s">
        <v>315</v>
      </c>
      <c r="V48" s="50">
        <v>1</v>
      </c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0"/>
      <c r="EP48" s="50"/>
      <c r="EQ48" s="50"/>
      <c r="ER48" s="50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  <c r="FK48" s="50"/>
      <c r="FL48" s="50"/>
      <c r="FM48" s="50"/>
      <c r="FN48" s="50"/>
      <c r="FO48" s="50"/>
      <c r="FP48" s="50"/>
      <c r="FQ48" s="50"/>
      <c r="FR48" s="50"/>
      <c r="FS48" s="50"/>
      <c r="FT48" s="50"/>
      <c r="FU48" s="50"/>
      <c r="FV48" s="50"/>
      <c r="FW48" s="50"/>
      <c r="FX48" s="50"/>
      <c r="FY48" s="50"/>
      <c r="FZ48" s="50"/>
      <c r="GA48" s="50"/>
      <c r="GB48" s="50"/>
      <c r="GC48" s="50"/>
      <c r="GD48" s="50"/>
      <c r="GE48" s="50"/>
      <c r="GF48" s="50"/>
      <c r="GG48" s="50"/>
      <c r="GH48" s="50"/>
      <c r="GI48" s="50"/>
      <c r="GJ48" s="50"/>
      <c r="GK48" s="50"/>
      <c r="GL48" s="50"/>
      <c r="GM48" s="50"/>
      <c r="GN48" s="50"/>
      <c r="GO48" s="50"/>
      <c r="GP48" s="50"/>
      <c r="GQ48" s="50"/>
      <c r="GR48" s="50"/>
      <c r="GS48" s="50"/>
      <c r="GT48" s="50"/>
      <c r="GU48" s="50"/>
      <c r="GV48" s="50"/>
      <c r="GW48" s="50"/>
      <c r="GX48" s="50"/>
      <c r="GY48" s="50"/>
      <c r="GZ48" s="50"/>
      <c r="HA48" s="50"/>
    </row>
    <row r="49" s="51" customFormat="1" spans="1:209">
      <c r="A49" s="50"/>
      <c r="B49" s="50"/>
      <c r="C49" s="50"/>
      <c r="D49" s="50"/>
      <c r="E49" s="50"/>
      <c r="F49" s="50"/>
      <c r="G49" s="50"/>
      <c r="H49" s="58" t="s">
        <v>123</v>
      </c>
      <c r="I49" s="58" t="s">
        <v>316</v>
      </c>
      <c r="J49" s="59">
        <v>4821</v>
      </c>
      <c r="K49" s="59">
        <v>27445</v>
      </c>
      <c r="L49" s="59">
        <v>155828</v>
      </c>
      <c r="M49" s="59">
        <v>12617</v>
      </c>
      <c r="N49" s="59">
        <v>200711</v>
      </c>
      <c r="O49" s="63">
        <v>204250</v>
      </c>
      <c r="P49" s="63">
        <f t="shared" si="1"/>
        <v>3539</v>
      </c>
      <c r="Q49" s="50">
        <v>1</v>
      </c>
      <c r="R49" s="50">
        <v>1</v>
      </c>
      <c r="S49" s="69" t="s">
        <v>123</v>
      </c>
      <c r="T49" s="50"/>
      <c r="U49" s="72" t="s">
        <v>317</v>
      </c>
      <c r="V49" s="50">
        <v>1</v>
      </c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</row>
    <row r="50" s="51" customFormat="1" ht="14.25" spans="1:209">
      <c r="A50" s="50"/>
      <c r="B50" s="50"/>
      <c r="C50" s="50"/>
      <c r="D50" s="50"/>
      <c r="E50" s="50"/>
      <c r="F50" s="50"/>
      <c r="G50" s="50"/>
      <c r="H50" s="58" t="s">
        <v>123</v>
      </c>
      <c r="I50" s="58" t="s">
        <v>318</v>
      </c>
      <c r="J50" s="59">
        <v>3510</v>
      </c>
      <c r="K50" s="59">
        <v>20632</v>
      </c>
      <c r="L50" s="59">
        <v>157201</v>
      </c>
      <c r="M50" s="59">
        <v>6857</v>
      </c>
      <c r="N50" s="59">
        <v>188200</v>
      </c>
      <c r="O50" s="63">
        <v>227643</v>
      </c>
      <c r="P50" s="63">
        <f t="shared" si="1"/>
        <v>39443</v>
      </c>
      <c r="Q50" s="50">
        <v>1</v>
      </c>
      <c r="R50" s="50">
        <v>1</v>
      </c>
      <c r="S50" s="69" t="s">
        <v>123</v>
      </c>
      <c r="T50" s="50"/>
      <c r="U50" s="23" t="s">
        <v>100</v>
      </c>
      <c r="V50" s="50">
        <v>1</v>
      </c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</row>
    <row r="51" s="51" customFormat="1" spans="1:209">
      <c r="A51" s="50"/>
      <c r="B51" s="50"/>
      <c r="C51" s="50"/>
      <c r="D51" s="50"/>
      <c r="E51" s="50"/>
      <c r="F51" s="50"/>
      <c r="G51" s="50"/>
      <c r="H51" s="58" t="s">
        <v>123</v>
      </c>
      <c r="I51" s="58" t="s">
        <v>319</v>
      </c>
      <c r="J51" s="59">
        <v>943</v>
      </c>
      <c r="K51" s="59">
        <v>5447</v>
      </c>
      <c r="L51" s="59">
        <v>43447</v>
      </c>
      <c r="M51" s="59">
        <v>5148</v>
      </c>
      <c r="N51" s="59">
        <v>54985</v>
      </c>
      <c r="O51" s="63">
        <v>60380</v>
      </c>
      <c r="P51" s="63">
        <f t="shared" si="1"/>
        <v>5395</v>
      </c>
      <c r="Q51" s="50">
        <v>1</v>
      </c>
      <c r="R51" s="50">
        <v>1</v>
      </c>
      <c r="S51" s="69" t="s">
        <v>123</v>
      </c>
      <c r="T51" s="50"/>
      <c r="U51" s="71" t="s">
        <v>58</v>
      </c>
      <c r="V51" s="50">
        <v>1</v>
      </c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/>
      <c r="EY51" s="50"/>
      <c r="EZ51" s="50"/>
      <c r="FA51" s="50"/>
      <c r="FB51" s="50"/>
      <c r="FC51" s="50"/>
      <c r="FD51" s="50"/>
      <c r="FE51" s="50"/>
      <c r="FF51" s="50"/>
      <c r="FG51" s="50"/>
      <c r="FH51" s="50"/>
      <c r="FI51" s="50"/>
      <c r="FJ51" s="50"/>
      <c r="FK51" s="50"/>
      <c r="FL51" s="50"/>
      <c r="FM51" s="50"/>
      <c r="FN51" s="50"/>
      <c r="FO51" s="50"/>
      <c r="FP51" s="50"/>
      <c r="FQ51" s="50"/>
      <c r="FR51" s="50"/>
      <c r="FS51" s="50"/>
      <c r="FT51" s="50"/>
      <c r="FU51" s="50"/>
      <c r="FV51" s="50"/>
      <c r="FW51" s="50"/>
      <c r="FX51" s="50"/>
      <c r="FY51" s="50"/>
      <c r="FZ51" s="50"/>
      <c r="GA51" s="50"/>
      <c r="GB51" s="50"/>
      <c r="GC51" s="50"/>
      <c r="GD51" s="50"/>
      <c r="GE51" s="50"/>
      <c r="GF51" s="50"/>
      <c r="GG51" s="50"/>
      <c r="GH51" s="50"/>
      <c r="GI51" s="50"/>
      <c r="GJ51" s="50"/>
      <c r="GK51" s="50"/>
      <c r="GL51" s="50"/>
      <c r="GM51" s="50"/>
      <c r="GN51" s="50"/>
      <c r="GO51" s="50"/>
      <c r="GP51" s="50"/>
      <c r="GQ51" s="50"/>
      <c r="GR51" s="50"/>
      <c r="GS51" s="50"/>
      <c r="GT51" s="50"/>
      <c r="GU51" s="50"/>
      <c r="GV51" s="50"/>
      <c r="GW51" s="50"/>
      <c r="GX51" s="50"/>
      <c r="GY51" s="50"/>
      <c r="GZ51" s="50"/>
      <c r="HA51" s="50"/>
    </row>
    <row r="52" s="51" customFormat="1" spans="1:209">
      <c r="A52" s="50"/>
      <c r="B52" s="50"/>
      <c r="C52" s="50"/>
      <c r="D52" s="50"/>
      <c r="E52" s="50"/>
      <c r="F52" s="50"/>
      <c r="G52" s="50"/>
      <c r="H52" s="58" t="s">
        <v>123</v>
      </c>
      <c r="I52" s="58" t="s">
        <v>320</v>
      </c>
      <c r="J52" s="59">
        <v>1111</v>
      </c>
      <c r="K52" s="59">
        <v>5592</v>
      </c>
      <c r="L52" s="59">
        <v>65099</v>
      </c>
      <c r="M52" s="59">
        <v>3232</v>
      </c>
      <c r="N52" s="59">
        <v>75034</v>
      </c>
      <c r="O52" s="63">
        <v>82653</v>
      </c>
      <c r="P52" s="63">
        <f t="shared" si="1"/>
        <v>7619</v>
      </c>
      <c r="Q52" s="50">
        <v>1</v>
      </c>
      <c r="R52" s="50">
        <v>1</v>
      </c>
      <c r="S52" s="69" t="s">
        <v>123</v>
      </c>
      <c r="T52" s="50"/>
      <c r="U52" s="71" t="s">
        <v>321</v>
      </c>
      <c r="V52" s="50">
        <v>1</v>
      </c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/>
      <c r="EE52" s="50"/>
      <c r="EF52" s="50"/>
      <c r="EG52" s="50"/>
      <c r="EH52" s="50"/>
      <c r="EI52" s="50"/>
      <c r="EJ52" s="50"/>
      <c r="EK52" s="50"/>
      <c r="EL52" s="50"/>
      <c r="EM52" s="50"/>
      <c r="EN52" s="50"/>
      <c r="EO52" s="50"/>
      <c r="EP52" s="50"/>
      <c r="EQ52" s="50"/>
      <c r="ER52" s="50"/>
      <c r="ES52" s="50"/>
      <c r="ET52" s="50"/>
      <c r="EU52" s="50"/>
      <c r="EV52" s="50"/>
      <c r="EW52" s="50"/>
      <c r="EX52" s="50"/>
      <c r="EY52" s="50"/>
      <c r="EZ52" s="50"/>
      <c r="FA52" s="50"/>
      <c r="FB52" s="50"/>
      <c r="FC52" s="50"/>
      <c r="FD52" s="50"/>
      <c r="FE52" s="50"/>
      <c r="FF52" s="50"/>
      <c r="FG52" s="50"/>
      <c r="FH52" s="50"/>
      <c r="FI52" s="50"/>
      <c r="FJ52" s="50"/>
      <c r="FK52" s="50"/>
      <c r="FL52" s="50"/>
      <c r="FM52" s="50"/>
      <c r="FN52" s="50"/>
      <c r="FO52" s="50"/>
      <c r="FP52" s="50"/>
      <c r="FQ52" s="50"/>
      <c r="FR52" s="50"/>
      <c r="FS52" s="50"/>
      <c r="FT52" s="50"/>
      <c r="FU52" s="50"/>
      <c r="FV52" s="50"/>
      <c r="FW52" s="50"/>
      <c r="FX52" s="50"/>
      <c r="FY52" s="50"/>
      <c r="FZ52" s="50"/>
      <c r="GA52" s="50"/>
      <c r="GB52" s="50"/>
      <c r="GC52" s="50"/>
      <c r="GD52" s="50"/>
      <c r="GE52" s="50"/>
      <c r="GF52" s="50"/>
      <c r="GG52" s="50"/>
      <c r="GH52" s="50"/>
      <c r="GI52" s="50"/>
      <c r="GJ52" s="50"/>
      <c r="GK52" s="50"/>
      <c r="GL52" s="50"/>
      <c r="GM52" s="50"/>
      <c r="GN52" s="50"/>
      <c r="GO52" s="50"/>
      <c r="GP52" s="50"/>
      <c r="GQ52" s="50"/>
      <c r="GR52" s="50"/>
      <c r="GS52" s="50"/>
      <c r="GT52" s="50"/>
      <c r="GU52" s="50"/>
      <c r="GV52" s="50"/>
      <c r="GW52" s="50"/>
      <c r="GX52" s="50"/>
      <c r="GY52" s="50"/>
      <c r="GZ52" s="50"/>
      <c r="HA52" s="50"/>
    </row>
    <row r="53" s="51" customFormat="1" spans="1:209">
      <c r="A53" s="50"/>
      <c r="B53" s="50"/>
      <c r="C53" s="50"/>
      <c r="D53" s="50"/>
      <c r="E53" s="50"/>
      <c r="F53" s="50"/>
      <c r="G53" s="50"/>
      <c r="H53" s="58" t="s">
        <v>123</v>
      </c>
      <c r="I53" s="58" t="s">
        <v>322</v>
      </c>
      <c r="J53" s="59">
        <v>10339</v>
      </c>
      <c r="K53" s="59">
        <v>66630</v>
      </c>
      <c r="L53" s="59">
        <v>307603</v>
      </c>
      <c r="M53" s="59">
        <v>8498</v>
      </c>
      <c r="N53" s="67">
        <v>393070</v>
      </c>
      <c r="O53" s="66">
        <v>400500</v>
      </c>
      <c r="P53" s="66">
        <f t="shared" si="1"/>
        <v>7430</v>
      </c>
      <c r="Q53" s="50"/>
      <c r="R53" s="50">
        <v>1</v>
      </c>
      <c r="S53" s="69" t="s">
        <v>123</v>
      </c>
      <c r="T53" s="50"/>
      <c r="U53" s="71" t="s">
        <v>323</v>
      </c>
      <c r="V53" s="50">
        <v>1</v>
      </c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/>
      <c r="EN53" s="50"/>
      <c r="EO53" s="50"/>
      <c r="EP53" s="50"/>
      <c r="EQ53" s="50"/>
      <c r="ER53" s="50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50"/>
      <c r="FK53" s="50"/>
      <c r="FL53" s="50"/>
      <c r="FM53" s="50"/>
      <c r="FN53" s="50"/>
      <c r="FO53" s="50"/>
      <c r="FP53" s="50"/>
      <c r="FQ53" s="50"/>
      <c r="FR53" s="50"/>
      <c r="FS53" s="50"/>
      <c r="FT53" s="50"/>
      <c r="FU53" s="50"/>
      <c r="FV53" s="50"/>
      <c r="FW53" s="50"/>
      <c r="FX53" s="50"/>
      <c r="FY53" s="50"/>
      <c r="FZ53" s="50"/>
      <c r="GA53" s="50"/>
      <c r="GB53" s="50"/>
      <c r="GC53" s="50"/>
      <c r="GD53" s="50"/>
      <c r="GE53" s="50"/>
      <c r="GF53" s="50"/>
      <c r="GG53" s="50"/>
      <c r="GH53" s="50"/>
      <c r="GI53" s="50"/>
      <c r="GJ53" s="50"/>
      <c r="GK53" s="50"/>
      <c r="GL53" s="50"/>
      <c r="GM53" s="50"/>
      <c r="GN53" s="50"/>
      <c r="GO53" s="50"/>
      <c r="GP53" s="50"/>
      <c r="GQ53" s="50"/>
      <c r="GR53" s="50"/>
      <c r="GS53" s="50"/>
      <c r="GT53" s="50"/>
      <c r="GU53" s="50"/>
      <c r="GV53" s="50"/>
      <c r="GW53" s="50"/>
      <c r="GX53" s="50"/>
      <c r="GY53" s="50"/>
      <c r="GZ53" s="50"/>
      <c r="HA53" s="50"/>
    </row>
    <row r="54" s="51" customFormat="1" spans="1:209">
      <c r="A54" s="50"/>
      <c r="B54" s="50"/>
      <c r="C54" s="50"/>
      <c r="D54" s="50"/>
      <c r="E54" s="50"/>
      <c r="F54" s="50"/>
      <c r="G54" s="50"/>
      <c r="H54" s="58" t="s">
        <v>123</v>
      </c>
      <c r="I54" s="58" t="s">
        <v>324</v>
      </c>
      <c r="J54" s="59">
        <v>14361</v>
      </c>
      <c r="K54" s="59">
        <v>80468</v>
      </c>
      <c r="L54" s="59">
        <v>455703</v>
      </c>
      <c r="M54" s="59">
        <v>36078</v>
      </c>
      <c r="N54" s="59">
        <v>586610</v>
      </c>
      <c r="O54" s="63">
        <v>599553</v>
      </c>
      <c r="P54" s="63">
        <f t="shared" si="1"/>
        <v>12943</v>
      </c>
      <c r="Q54" s="50">
        <v>1</v>
      </c>
      <c r="R54" s="50">
        <v>1</v>
      </c>
      <c r="S54" s="69" t="s">
        <v>123</v>
      </c>
      <c r="T54" s="50"/>
      <c r="U54" s="71" t="s">
        <v>325</v>
      </c>
      <c r="V54" s="50">
        <v>1</v>
      </c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  <c r="EN54" s="50"/>
      <c r="EO54" s="50"/>
      <c r="EP54" s="50"/>
      <c r="EQ54" s="50"/>
      <c r="ER54" s="50"/>
      <c r="ES54" s="50"/>
      <c r="ET54" s="50"/>
      <c r="EU54" s="50"/>
      <c r="EV54" s="50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50"/>
      <c r="FL54" s="50"/>
      <c r="FM54" s="50"/>
      <c r="FN54" s="50"/>
      <c r="FO54" s="50"/>
      <c r="FP54" s="50"/>
      <c r="FQ54" s="50"/>
      <c r="FR54" s="50"/>
      <c r="FS54" s="50"/>
      <c r="FT54" s="50"/>
      <c r="FU54" s="50"/>
      <c r="FV54" s="50"/>
      <c r="FW54" s="50"/>
      <c r="FX54" s="50"/>
      <c r="FY54" s="50"/>
      <c r="FZ54" s="50"/>
      <c r="GA54" s="50"/>
      <c r="GB54" s="50"/>
      <c r="GC54" s="50"/>
      <c r="GD54" s="50"/>
      <c r="GE54" s="50"/>
      <c r="GF54" s="50"/>
      <c r="GG54" s="50"/>
      <c r="GH54" s="50"/>
      <c r="GI54" s="50"/>
      <c r="GJ54" s="50"/>
      <c r="GK54" s="50"/>
      <c r="GL54" s="50"/>
      <c r="GM54" s="50"/>
      <c r="GN54" s="50"/>
      <c r="GO54" s="50"/>
      <c r="GP54" s="50"/>
      <c r="GQ54" s="50"/>
      <c r="GR54" s="50"/>
      <c r="GS54" s="50"/>
      <c r="GT54" s="50"/>
      <c r="GU54" s="50"/>
      <c r="GV54" s="50"/>
      <c r="GW54" s="50"/>
      <c r="GX54" s="50"/>
      <c r="GY54" s="50"/>
      <c r="GZ54" s="50"/>
      <c r="HA54" s="50"/>
    </row>
    <row r="55" s="51" customFormat="1" spans="1:209">
      <c r="A55" s="50"/>
      <c r="B55" s="50"/>
      <c r="C55" s="50"/>
      <c r="D55" s="50"/>
      <c r="E55" s="50"/>
      <c r="F55" s="50"/>
      <c r="G55" s="50"/>
      <c r="H55" s="58" t="s">
        <v>123</v>
      </c>
      <c r="I55" s="58" t="s">
        <v>326</v>
      </c>
      <c r="J55" s="59">
        <v>3079</v>
      </c>
      <c r="K55" s="59">
        <v>16237</v>
      </c>
      <c r="L55" s="59">
        <v>177091</v>
      </c>
      <c r="M55" s="59">
        <v>9564</v>
      </c>
      <c r="N55" s="59">
        <v>205971</v>
      </c>
      <c r="O55" s="63">
        <v>237410</v>
      </c>
      <c r="P55" s="63">
        <f t="shared" si="1"/>
        <v>31439</v>
      </c>
      <c r="Q55" s="50">
        <v>1</v>
      </c>
      <c r="R55" s="50">
        <v>1</v>
      </c>
      <c r="S55" s="69" t="s">
        <v>123</v>
      </c>
      <c r="T55" s="50"/>
      <c r="U55" s="71" t="s">
        <v>327</v>
      </c>
      <c r="V55" s="50">
        <v>1</v>
      </c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</row>
    <row r="56" s="51" customFormat="1" spans="1:209">
      <c r="A56" s="50"/>
      <c r="B56" s="50"/>
      <c r="C56" s="50"/>
      <c r="D56" s="50"/>
      <c r="E56" s="50"/>
      <c r="F56" s="50"/>
      <c r="G56" s="50"/>
      <c r="H56" s="60" t="s">
        <v>120</v>
      </c>
      <c r="I56" s="60" t="s">
        <v>328</v>
      </c>
      <c r="J56" s="59">
        <v>21314</v>
      </c>
      <c r="K56" s="59">
        <v>119360</v>
      </c>
      <c r="L56" s="59">
        <v>443512</v>
      </c>
      <c r="M56" s="59">
        <v>23094</v>
      </c>
      <c r="N56" s="59">
        <v>607280</v>
      </c>
      <c r="O56" s="63">
        <v>553451</v>
      </c>
      <c r="P56" s="63">
        <f t="shared" si="1"/>
        <v>-53829</v>
      </c>
      <c r="Q56" s="50"/>
      <c r="R56" s="50">
        <v>1</v>
      </c>
      <c r="S56" s="69" t="s">
        <v>120</v>
      </c>
      <c r="T56" s="50"/>
      <c r="U56" s="71" t="s">
        <v>329</v>
      </c>
      <c r="V56" s="50">
        <v>1</v>
      </c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</row>
    <row r="57" s="51" customFormat="1" spans="1:209">
      <c r="A57" s="50"/>
      <c r="B57" s="50"/>
      <c r="C57" s="50"/>
      <c r="D57" s="50"/>
      <c r="E57" s="50"/>
      <c r="F57" s="50"/>
      <c r="G57" s="50"/>
      <c r="H57" s="60" t="s">
        <v>120</v>
      </c>
      <c r="I57" s="60" t="s">
        <v>330</v>
      </c>
      <c r="J57" s="59">
        <v>5481</v>
      </c>
      <c r="K57" s="59">
        <v>39894</v>
      </c>
      <c r="L57" s="59">
        <v>213857</v>
      </c>
      <c r="M57" s="59">
        <v>15241</v>
      </c>
      <c r="N57" s="59">
        <v>274473</v>
      </c>
      <c r="O57" s="63">
        <v>282233</v>
      </c>
      <c r="P57" s="63">
        <f t="shared" si="1"/>
        <v>7760</v>
      </c>
      <c r="Q57" s="50">
        <v>1</v>
      </c>
      <c r="R57" s="50">
        <v>1</v>
      </c>
      <c r="S57" s="69" t="s">
        <v>120</v>
      </c>
      <c r="T57" s="50"/>
      <c r="U57" s="71" t="s">
        <v>331</v>
      </c>
      <c r="V57" s="50">
        <v>1</v>
      </c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</row>
    <row r="58" s="51" customFormat="1" ht="14.25" spans="1:209">
      <c r="A58" s="50"/>
      <c r="B58" s="50"/>
      <c r="C58" s="50"/>
      <c r="D58" s="50"/>
      <c r="E58" s="50"/>
      <c r="F58" s="50"/>
      <c r="G58" s="50"/>
      <c r="H58" s="60" t="s">
        <v>120</v>
      </c>
      <c r="I58" s="60" t="s">
        <v>332</v>
      </c>
      <c r="J58" s="59">
        <v>6992</v>
      </c>
      <c r="K58" s="59">
        <v>58582</v>
      </c>
      <c r="L58" s="59">
        <v>255676</v>
      </c>
      <c r="M58" s="59">
        <v>13924</v>
      </c>
      <c r="N58" s="59">
        <v>335174</v>
      </c>
      <c r="O58" s="63">
        <v>320108</v>
      </c>
      <c r="P58" s="63">
        <f t="shared" si="1"/>
        <v>-15066</v>
      </c>
      <c r="Q58" s="50"/>
      <c r="R58" s="50">
        <v>1</v>
      </c>
      <c r="S58" s="69" t="s">
        <v>120</v>
      </c>
      <c r="T58" s="50"/>
      <c r="U58" s="23" t="s">
        <v>108</v>
      </c>
      <c r="V58" s="50">
        <v>1</v>
      </c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50"/>
      <c r="FP58" s="50"/>
      <c r="FQ58" s="50"/>
      <c r="FR58" s="50"/>
      <c r="FS58" s="50"/>
      <c r="FT58" s="50"/>
      <c r="FU58" s="50"/>
      <c r="FV58" s="50"/>
      <c r="FW58" s="50"/>
      <c r="FX58" s="50"/>
      <c r="FY58" s="50"/>
      <c r="FZ58" s="50"/>
      <c r="GA58" s="50"/>
      <c r="GB58" s="50"/>
      <c r="GC58" s="50"/>
      <c r="GD58" s="50"/>
      <c r="GE58" s="50"/>
      <c r="GF58" s="50"/>
      <c r="GG58" s="50"/>
      <c r="GH58" s="50"/>
      <c r="GI58" s="50"/>
      <c r="GJ58" s="50"/>
      <c r="GK58" s="50"/>
      <c r="GL58" s="50"/>
      <c r="GM58" s="50"/>
      <c r="GN58" s="50"/>
      <c r="GO58" s="50"/>
      <c r="GP58" s="50"/>
      <c r="GQ58" s="50"/>
      <c r="GR58" s="50"/>
      <c r="GS58" s="50"/>
      <c r="GT58" s="50"/>
      <c r="GU58" s="50"/>
      <c r="GV58" s="50"/>
      <c r="GW58" s="50"/>
      <c r="GX58" s="50"/>
      <c r="GY58" s="50"/>
      <c r="GZ58" s="50"/>
      <c r="HA58" s="50"/>
    </row>
    <row r="59" s="51" customFormat="1" spans="1:209">
      <c r="A59" s="50"/>
      <c r="B59" s="50"/>
      <c r="C59" s="50"/>
      <c r="D59" s="50"/>
      <c r="E59" s="50"/>
      <c r="F59" s="50"/>
      <c r="G59" s="50"/>
      <c r="H59" s="60" t="s">
        <v>120</v>
      </c>
      <c r="I59" s="60" t="s">
        <v>333</v>
      </c>
      <c r="J59" s="59">
        <v>9499</v>
      </c>
      <c r="K59" s="59">
        <v>62439</v>
      </c>
      <c r="L59" s="59">
        <v>384882</v>
      </c>
      <c r="M59" s="59">
        <v>33426</v>
      </c>
      <c r="N59" s="59">
        <v>490246</v>
      </c>
      <c r="O59" s="63">
        <v>536791</v>
      </c>
      <c r="P59" s="63">
        <f t="shared" si="1"/>
        <v>46545</v>
      </c>
      <c r="Q59" s="50">
        <v>1</v>
      </c>
      <c r="R59" s="50">
        <v>1</v>
      </c>
      <c r="S59" s="69" t="s">
        <v>120</v>
      </c>
      <c r="T59" s="50"/>
      <c r="U59" s="71" t="s">
        <v>58</v>
      </c>
      <c r="V59" s="50">
        <v>1</v>
      </c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</row>
    <row r="60" s="51" customFormat="1" spans="1:209">
      <c r="A60" s="50"/>
      <c r="B60" s="50"/>
      <c r="C60" s="50"/>
      <c r="D60" s="50"/>
      <c r="E60" s="50"/>
      <c r="F60" s="50"/>
      <c r="G60" s="50"/>
      <c r="H60" s="60" t="s">
        <v>140</v>
      </c>
      <c r="I60" s="60" t="s">
        <v>334</v>
      </c>
      <c r="J60" s="59">
        <v>7060</v>
      </c>
      <c r="K60" s="59">
        <v>38140</v>
      </c>
      <c r="L60" s="59">
        <v>222878</v>
      </c>
      <c r="M60" s="59">
        <v>20874</v>
      </c>
      <c r="N60" s="59">
        <v>288952</v>
      </c>
      <c r="O60" s="63">
        <v>267092</v>
      </c>
      <c r="P60" s="63">
        <f t="shared" si="1"/>
        <v>-21860</v>
      </c>
      <c r="Q60" s="50"/>
      <c r="R60" s="50">
        <v>1</v>
      </c>
      <c r="S60" s="69" t="s">
        <v>140</v>
      </c>
      <c r="T60" s="50"/>
      <c r="U60" s="71" t="s">
        <v>310</v>
      </c>
      <c r="V60" s="50">
        <v>1</v>
      </c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0"/>
      <c r="FM60" s="50"/>
      <c r="FN60" s="50"/>
      <c r="FO60" s="50"/>
      <c r="FP60" s="50"/>
      <c r="FQ60" s="50"/>
      <c r="FR60" s="50"/>
      <c r="FS60" s="50"/>
      <c r="FT60" s="50"/>
      <c r="FU60" s="50"/>
      <c r="FV60" s="50"/>
      <c r="FW60" s="50"/>
      <c r="FX60" s="50"/>
      <c r="FY60" s="50"/>
      <c r="FZ60" s="50"/>
      <c r="GA60" s="50"/>
      <c r="GB60" s="50"/>
      <c r="GC60" s="50"/>
      <c r="GD60" s="50"/>
      <c r="GE60" s="50"/>
      <c r="GF60" s="50"/>
      <c r="GG60" s="50"/>
      <c r="GH60" s="50"/>
      <c r="GI60" s="50"/>
      <c r="GJ60" s="50"/>
      <c r="GK60" s="50"/>
      <c r="GL60" s="50"/>
      <c r="GM60" s="50"/>
      <c r="GN60" s="50"/>
      <c r="GO60" s="50"/>
      <c r="GP60" s="50"/>
      <c r="GQ60" s="50"/>
      <c r="GR60" s="50"/>
      <c r="GS60" s="50"/>
      <c r="GT60" s="50"/>
      <c r="GU60" s="50"/>
      <c r="GV60" s="50"/>
      <c r="GW60" s="50"/>
      <c r="GX60" s="50"/>
      <c r="GY60" s="50"/>
      <c r="GZ60" s="50"/>
      <c r="HA60" s="50"/>
    </row>
    <row r="61" s="51" customFormat="1" spans="1:209">
      <c r="A61" s="50"/>
      <c r="B61" s="50"/>
      <c r="C61" s="50"/>
      <c r="D61" s="50"/>
      <c r="E61" s="50"/>
      <c r="F61" s="50"/>
      <c r="G61" s="50"/>
      <c r="H61" s="60" t="s">
        <v>140</v>
      </c>
      <c r="I61" s="60" t="s">
        <v>335</v>
      </c>
      <c r="J61" s="59">
        <v>7512</v>
      </c>
      <c r="K61" s="59">
        <v>40916</v>
      </c>
      <c r="L61" s="59">
        <v>193426</v>
      </c>
      <c r="M61" s="59">
        <v>46505</v>
      </c>
      <c r="N61" s="59">
        <v>288359</v>
      </c>
      <c r="O61" s="63">
        <v>277803</v>
      </c>
      <c r="P61" s="63">
        <f t="shared" si="1"/>
        <v>-10556</v>
      </c>
      <c r="Q61" s="50">
        <v>1</v>
      </c>
      <c r="R61" s="50">
        <v>1</v>
      </c>
      <c r="S61" s="69" t="s">
        <v>140</v>
      </c>
      <c r="T61" s="50"/>
      <c r="U61" s="71" t="s">
        <v>311</v>
      </c>
      <c r="V61" s="50">
        <v>1</v>
      </c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0"/>
      <c r="GH61" s="50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</row>
    <row r="62" s="51" customFormat="1" spans="1:209">
      <c r="A62" s="50"/>
      <c r="B62" s="50"/>
      <c r="C62" s="50"/>
      <c r="D62" s="50"/>
      <c r="E62" s="50"/>
      <c r="F62" s="50"/>
      <c r="G62" s="50"/>
      <c r="H62" s="60" t="s">
        <v>140</v>
      </c>
      <c r="I62" s="60" t="s">
        <v>336</v>
      </c>
      <c r="J62" s="59">
        <v>4339</v>
      </c>
      <c r="K62" s="59">
        <v>27063</v>
      </c>
      <c r="L62" s="59">
        <v>138768</v>
      </c>
      <c r="M62" s="59">
        <v>35099</v>
      </c>
      <c r="N62" s="59">
        <v>205269</v>
      </c>
      <c r="O62" s="63">
        <v>228084</v>
      </c>
      <c r="P62" s="63">
        <f t="shared" si="1"/>
        <v>22815</v>
      </c>
      <c r="Q62" s="50">
        <v>1</v>
      </c>
      <c r="R62" s="50">
        <v>1</v>
      </c>
      <c r="S62" s="69" t="s">
        <v>140</v>
      </c>
      <c r="T62" s="50"/>
      <c r="U62" s="71" t="s">
        <v>312</v>
      </c>
      <c r="V62" s="50">
        <v>1</v>
      </c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  <c r="EN62" s="50"/>
      <c r="EO62" s="50"/>
      <c r="EP62" s="50"/>
      <c r="EQ62" s="50"/>
      <c r="ER62" s="50"/>
      <c r="ES62" s="50"/>
      <c r="ET62" s="50"/>
      <c r="EU62" s="50"/>
      <c r="EV62" s="50"/>
      <c r="EW62" s="50"/>
      <c r="EX62" s="50"/>
      <c r="EY62" s="50"/>
      <c r="EZ62" s="50"/>
      <c r="FA62" s="50"/>
      <c r="FB62" s="50"/>
      <c r="FC62" s="50"/>
      <c r="FD62" s="50"/>
      <c r="FE62" s="50"/>
      <c r="FF62" s="50"/>
      <c r="FG62" s="50"/>
      <c r="FH62" s="50"/>
      <c r="FI62" s="50"/>
      <c r="FJ62" s="50"/>
      <c r="FK62" s="50"/>
      <c r="FL62" s="50"/>
      <c r="FM62" s="50"/>
      <c r="FN62" s="50"/>
      <c r="FO62" s="50"/>
      <c r="FP62" s="50"/>
      <c r="FQ62" s="50"/>
      <c r="FR62" s="50"/>
      <c r="FS62" s="50"/>
      <c r="FT62" s="50"/>
      <c r="FU62" s="50"/>
      <c r="FV62" s="50"/>
      <c r="FW62" s="50"/>
      <c r="FX62" s="50"/>
      <c r="FY62" s="50"/>
      <c r="FZ62" s="50"/>
      <c r="GA62" s="50"/>
      <c r="GB62" s="50"/>
      <c r="GC62" s="50"/>
      <c r="GD62" s="50"/>
      <c r="GE62" s="50"/>
      <c r="GF62" s="50"/>
      <c r="GG62" s="50"/>
      <c r="GH62" s="50"/>
      <c r="GI62" s="50"/>
      <c r="GJ62" s="50"/>
      <c r="GK62" s="50"/>
      <c r="GL62" s="50"/>
      <c r="GM62" s="50"/>
      <c r="GN62" s="50"/>
      <c r="GO62" s="50"/>
      <c r="GP62" s="50"/>
      <c r="GQ62" s="50"/>
      <c r="GR62" s="50"/>
      <c r="GS62" s="50"/>
      <c r="GT62" s="50"/>
      <c r="GU62" s="50"/>
      <c r="GV62" s="50"/>
      <c r="GW62" s="50"/>
      <c r="GX62" s="50"/>
      <c r="GY62" s="50"/>
      <c r="GZ62" s="50"/>
      <c r="HA62" s="50"/>
    </row>
    <row r="63" s="51" customFormat="1" ht="14.25" spans="1:209">
      <c r="A63" s="50"/>
      <c r="B63" s="50"/>
      <c r="C63" s="50"/>
      <c r="D63" s="50"/>
      <c r="E63" s="50"/>
      <c r="F63" s="50"/>
      <c r="G63" s="50"/>
      <c r="H63" s="60" t="s">
        <v>140</v>
      </c>
      <c r="I63" s="60" t="s">
        <v>337</v>
      </c>
      <c r="J63" s="59">
        <v>2149</v>
      </c>
      <c r="K63" s="59">
        <v>13688</v>
      </c>
      <c r="L63" s="59">
        <v>90116</v>
      </c>
      <c r="M63" s="59">
        <v>34556</v>
      </c>
      <c r="N63" s="67">
        <v>140509</v>
      </c>
      <c r="O63" s="66">
        <v>144665</v>
      </c>
      <c r="P63" s="66">
        <f t="shared" si="1"/>
        <v>4156</v>
      </c>
      <c r="Q63" s="50"/>
      <c r="R63" s="50">
        <v>1</v>
      </c>
      <c r="S63" s="69" t="s">
        <v>140</v>
      </c>
      <c r="T63" s="50"/>
      <c r="U63" s="23" t="s">
        <v>113</v>
      </c>
      <c r="V63" s="50">
        <v>1</v>
      </c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0"/>
      <c r="DT63" s="50"/>
      <c r="DU63" s="50"/>
      <c r="DV63" s="50"/>
      <c r="DW63" s="50"/>
      <c r="DX63" s="50"/>
      <c r="DY63" s="50"/>
      <c r="DZ63" s="50"/>
      <c r="EA63" s="50"/>
      <c r="EB63" s="50"/>
      <c r="EC63" s="50"/>
      <c r="ED63" s="50"/>
      <c r="EE63" s="50"/>
      <c r="EF63" s="50"/>
      <c r="EG63" s="50"/>
      <c r="EH63" s="50"/>
      <c r="EI63" s="50"/>
      <c r="EJ63" s="50"/>
      <c r="EK63" s="50"/>
      <c r="EL63" s="50"/>
      <c r="EM63" s="50"/>
      <c r="EN63" s="50"/>
      <c r="EO63" s="50"/>
      <c r="EP63" s="50"/>
      <c r="EQ63" s="50"/>
      <c r="ER63" s="50"/>
      <c r="ES63" s="50"/>
      <c r="ET63" s="50"/>
      <c r="EU63" s="50"/>
      <c r="EV63" s="50"/>
      <c r="EW63" s="50"/>
      <c r="EX63" s="50"/>
      <c r="EY63" s="50"/>
      <c r="EZ63" s="50"/>
      <c r="FA63" s="50"/>
      <c r="FB63" s="50"/>
      <c r="FC63" s="50"/>
      <c r="FD63" s="50"/>
      <c r="FE63" s="50"/>
      <c r="FF63" s="50"/>
      <c r="FG63" s="50"/>
      <c r="FH63" s="50"/>
      <c r="FI63" s="50"/>
      <c r="FJ63" s="50"/>
      <c r="FK63" s="50"/>
      <c r="FL63" s="50"/>
      <c r="FM63" s="50"/>
      <c r="FN63" s="50"/>
      <c r="FO63" s="50"/>
      <c r="FP63" s="50"/>
      <c r="FQ63" s="50"/>
      <c r="FR63" s="50"/>
      <c r="FS63" s="50"/>
      <c r="FT63" s="50"/>
      <c r="FU63" s="50"/>
      <c r="FV63" s="50"/>
      <c r="FW63" s="50"/>
      <c r="FX63" s="50"/>
      <c r="FY63" s="50"/>
      <c r="FZ63" s="50"/>
      <c r="GA63" s="50"/>
      <c r="GB63" s="50"/>
      <c r="GC63" s="50"/>
      <c r="GD63" s="50"/>
      <c r="GE63" s="50"/>
      <c r="GF63" s="50"/>
      <c r="GG63" s="50"/>
      <c r="GH63" s="50"/>
      <c r="GI63" s="50"/>
      <c r="GJ63" s="50"/>
      <c r="GK63" s="50"/>
      <c r="GL63" s="50"/>
      <c r="GM63" s="50"/>
      <c r="GN63" s="50"/>
      <c r="GO63" s="50"/>
      <c r="GP63" s="50"/>
      <c r="GQ63" s="50"/>
      <c r="GR63" s="50"/>
      <c r="GS63" s="50"/>
      <c r="GT63" s="50"/>
      <c r="GU63" s="50"/>
      <c r="GV63" s="50"/>
      <c r="GW63" s="50"/>
      <c r="GX63" s="50"/>
      <c r="GY63" s="50"/>
      <c r="GZ63" s="50"/>
      <c r="HA63" s="50"/>
    </row>
    <row r="64" s="51" customFormat="1" spans="1:209">
      <c r="A64" s="50"/>
      <c r="B64" s="50"/>
      <c r="C64" s="50"/>
      <c r="D64" s="50"/>
      <c r="E64" s="50"/>
      <c r="F64" s="50"/>
      <c r="G64" s="50"/>
      <c r="H64" s="60" t="s">
        <v>140</v>
      </c>
      <c r="I64" s="60" t="s">
        <v>338</v>
      </c>
      <c r="J64" s="59">
        <v>13149</v>
      </c>
      <c r="K64" s="59">
        <v>61960</v>
      </c>
      <c r="L64" s="59">
        <v>328991</v>
      </c>
      <c r="M64" s="59">
        <v>89202</v>
      </c>
      <c r="N64" s="59">
        <v>493302</v>
      </c>
      <c r="O64" s="63">
        <v>551830</v>
      </c>
      <c r="P64" s="63">
        <f t="shared" si="1"/>
        <v>58528</v>
      </c>
      <c r="Q64" s="50">
        <v>1</v>
      </c>
      <c r="R64" s="50">
        <v>1</v>
      </c>
      <c r="S64" s="69" t="s">
        <v>140</v>
      </c>
      <c r="T64" s="50"/>
      <c r="U64" s="71" t="s">
        <v>58</v>
      </c>
      <c r="V64" s="50">
        <v>1</v>
      </c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  <c r="DT64" s="50"/>
      <c r="DU64" s="50"/>
      <c r="DV64" s="50"/>
      <c r="DW64" s="50"/>
      <c r="DX64" s="50"/>
      <c r="DY64" s="50"/>
      <c r="DZ64" s="50"/>
      <c r="EA64" s="50"/>
      <c r="EB64" s="50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  <c r="EN64" s="50"/>
      <c r="EO64" s="50"/>
      <c r="EP64" s="50"/>
      <c r="EQ64" s="50"/>
      <c r="ER64" s="50"/>
      <c r="ES64" s="50"/>
      <c r="ET64" s="50"/>
      <c r="EU64" s="50"/>
      <c r="EV64" s="50"/>
      <c r="EW64" s="50"/>
      <c r="EX64" s="50"/>
      <c r="EY64" s="50"/>
      <c r="EZ64" s="50"/>
      <c r="FA64" s="50"/>
      <c r="FB64" s="50"/>
      <c r="FC64" s="50"/>
      <c r="FD64" s="50"/>
      <c r="FE64" s="50"/>
      <c r="FF64" s="50"/>
      <c r="FG64" s="50"/>
      <c r="FH64" s="50"/>
      <c r="FI64" s="50"/>
      <c r="FJ64" s="50"/>
      <c r="FK64" s="50"/>
      <c r="FL64" s="50"/>
      <c r="FM64" s="50"/>
      <c r="FN64" s="50"/>
      <c r="FO64" s="50"/>
      <c r="FP64" s="50"/>
      <c r="FQ64" s="50"/>
      <c r="FR64" s="50"/>
      <c r="FS64" s="50"/>
      <c r="FT64" s="50"/>
      <c r="FU64" s="50"/>
      <c r="FV64" s="50"/>
      <c r="FW64" s="50"/>
      <c r="FX64" s="50"/>
      <c r="FY64" s="50"/>
      <c r="FZ64" s="50"/>
      <c r="GA64" s="50"/>
      <c r="GB64" s="50"/>
      <c r="GC64" s="50"/>
      <c r="GD64" s="50"/>
      <c r="GE64" s="50"/>
      <c r="GF64" s="50"/>
      <c r="GG64" s="50"/>
      <c r="GH64" s="50"/>
      <c r="GI64" s="50"/>
      <c r="GJ64" s="50"/>
      <c r="GK64" s="50"/>
      <c r="GL64" s="50"/>
      <c r="GM64" s="50"/>
      <c r="GN64" s="50"/>
      <c r="GO64" s="50"/>
      <c r="GP64" s="50"/>
      <c r="GQ64" s="50"/>
      <c r="GR64" s="50"/>
      <c r="GS64" s="50"/>
      <c r="GT64" s="50"/>
      <c r="GU64" s="50"/>
      <c r="GV64" s="50"/>
      <c r="GW64" s="50"/>
      <c r="GX64" s="50"/>
      <c r="GY64" s="50"/>
      <c r="GZ64" s="50"/>
      <c r="HA64" s="50"/>
    </row>
    <row r="65" s="51" customFormat="1" spans="1:209">
      <c r="A65" s="50"/>
      <c r="B65" s="50"/>
      <c r="C65" s="50"/>
      <c r="D65" s="50"/>
      <c r="E65" s="50"/>
      <c r="F65" s="50"/>
      <c r="G65" s="50"/>
      <c r="H65" s="60" t="s">
        <v>76</v>
      </c>
      <c r="I65" s="60" t="s">
        <v>339</v>
      </c>
      <c r="J65" s="59">
        <v>9302</v>
      </c>
      <c r="K65" s="59">
        <v>59614</v>
      </c>
      <c r="L65" s="59">
        <v>224184</v>
      </c>
      <c r="M65" s="59">
        <v>15165</v>
      </c>
      <c r="N65" s="59">
        <v>308265</v>
      </c>
      <c r="O65" s="63">
        <v>275596</v>
      </c>
      <c r="P65" s="63">
        <f t="shared" si="1"/>
        <v>-32669</v>
      </c>
      <c r="Q65" s="50"/>
      <c r="R65" s="50">
        <v>1</v>
      </c>
      <c r="S65" s="69" t="s">
        <v>76</v>
      </c>
      <c r="T65" s="50"/>
      <c r="U65" s="71" t="s">
        <v>340</v>
      </c>
      <c r="V65" s="50">
        <v>1</v>
      </c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50"/>
      <c r="DC65" s="50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  <c r="EI65" s="50"/>
      <c r="EJ65" s="50"/>
      <c r="EK65" s="50"/>
      <c r="EL65" s="50"/>
      <c r="EM65" s="50"/>
      <c r="EN65" s="50"/>
      <c r="EO65" s="50"/>
      <c r="EP65" s="50"/>
      <c r="EQ65" s="50"/>
      <c r="ER65" s="50"/>
      <c r="ES65" s="50"/>
      <c r="ET65" s="50"/>
      <c r="EU65" s="50"/>
      <c r="EV65" s="50"/>
      <c r="EW65" s="50"/>
      <c r="EX65" s="50"/>
      <c r="EY65" s="50"/>
      <c r="EZ65" s="50"/>
      <c r="FA65" s="50"/>
      <c r="FB65" s="50"/>
      <c r="FC65" s="50"/>
      <c r="FD65" s="50"/>
      <c r="FE65" s="50"/>
      <c r="FF65" s="50"/>
      <c r="FG65" s="50"/>
      <c r="FH65" s="50"/>
      <c r="FI65" s="50"/>
      <c r="FJ65" s="50"/>
      <c r="FK65" s="50"/>
      <c r="FL65" s="50"/>
      <c r="FM65" s="50"/>
      <c r="FN65" s="50"/>
      <c r="FO65" s="50"/>
      <c r="FP65" s="50"/>
      <c r="FQ65" s="50"/>
      <c r="FR65" s="50"/>
      <c r="FS65" s="50"/>
      <c r="FT65" s="50"/>
      <c r="FU65" s="50"/>
      <c r="FV65" s="50"/>
      <c r="FW65" s="50"/>
      <c r="FX65" s="50"/>
      <c r="FY65" s="50"/>
      <c r="FZ65" s="50"/>
      <c r="GA65" s="50"/>
      <c r="GB65" s="50"/>
      <c r="GC65" s="50"/>
      <c r="GD65" s="50"/>
      <c r="GE65" s="50"/>
      <c r="GF65" s="50"/>
      <c r="GG65" s="50"/>
      <c r="GH65" s="50"/>
      <c r="GI65" s="50"/>
      <c r="GJ65" s="50"/>
      <c r="GK65" s="50"/>
      <c r="GL65" s="50"/>
      <c r="GM65" s="50"/>
      <c r="GN65" s="50"/>
      <c r="GO65" s="50"/>
      <c r="GP65" s="50"/>
      <c r="GQ65" s="50"/>
      <c r="GR65" s="50"/>
      <c r="GS65" s="50"/>
      <c r="GT65" s="50"/>
      <c r="GU65" s="50"/>
      <c r="GV65" s="50"/>
      <c r="GW65" s="50"/>
      <c r="GX65" s="50"/>
      <c r="GY65" s="50"/>
      <c r="GZ65" s="50"/>
      <c r="HA65" s="50"/>
    </row>
    <row r="66" s="51" customFormat="1" spans="1:209">
      <c r="A66" s="50"/>
      <c r="B66" s="50"/>
      <c r="C66" s="50"/>
      <c r="D66" s="50"/>
      <c r="E66" s="50"/>
      <c r="F66" s="50"/>
      <c r="G66" s="50"/>
      <c r="H66" s="60" t="s">
        <v>76</v>
      </c>
      <c r="I66" s="60" t="s">
        <v>341</v>
      </c>
      <c r="J66" s="59">
        <v>13893</v>
      </c>
      <c r="K66" s="59">
        <v>86207</v>
      </c>
      <c r="L66" s="59">
        <v>312819</v>
      </c>
      <c r="M66" s="59">
        <v>17037</v>
      </c>
      <c r="N66" s="67">
        <v>429956</v>
      </c>
      <c r="O66" s="66">
        <v>431264</v>
      </c>
      <c r="P66" s="66">
        <f t="shared" si="1"/>
        <v>1308</v>
      </c>
      <c r="Q66" s="50"/>
      <c r="R66" s="50">
        <v>1</v>
      </c>
      <c r="S66" s="69" t="s">
        <v>76</v>
      </c>
      <c r="T66" s="50"/>
      <c r="U66" s="71" t="s">
        <v>342</v>
      </c>
      <c r="V66" s="50">
        <v>1</v>
      </c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  <c r="ES66" s="50"/>
      <c r="ET66" s="50"/>
      <c r="EU66" s="50"/>
      <c r="EV66" s="50"/>
      <c r="EW66" s="50"/>
      <c r="EX66" s="50"/>
      <c r="EY66" s="50"/>
      <c r="EZ66" s="50"/>
      <c r="FA66" s="50"/>
      <c r="FB66" s="50"/>
      <c r="FC66" s="50"/>
      <c r="FD66" s="50"/>
      <c r="FE66" s="50"/>
      <c r="FF66" s="50"/>
      <c r="FG66" s="50"/>
      <c r="FH66" s="50"/>
      <c r="FI66" s="50"/>
      <c r="FJ66" s="50"/>
      <c r="FK66" s="50"/>
      <c r="FL66" s="50"/>
      <c r="FM66" s="50"/>
      <c r="FN66" s="50"/>
      <c r="FO66" s="50"/>
      <c r="FP66" s="50"/>
      <c r="FQ66" s="50"/>
      <c r="FR66" s="50"/>
      <c r="FS66" s="50"/>
      <c r="FT66" s="50"/>
      <c r="FU66" s="50"/>
      <c r="FV66" s="50"/>
      <c r="FW66" s="50"/>
      <c r="FX66" s="50"/>
      <c r="FY66" s="50"/>
      <c r="FZ66" s="50"/>
      <c r="GA66" s="50"/>
      <c r="GB66" s="50"/>
      <c r="GC66" s="50"/>
      <c r="GD66" s="50"/>
      <c r="GE66" s="50"/>
      <c r="GF66" s="50"/>
      <c r="GG66" s="50"/>
      <c r="GH66" s="50"/>
      <c r="GI66" s="50"/>
      <c r="GJ66" s="50"/>
      <c r="GK66" s="50"/>
      <c r="GL66" s="50"/>
      <c r="GM66" s="50"/>
      <c r="GN66" s="50"/>
      <c r="GO66" s="50"/>
      <c r="GP66" s="50"/>
      <c r="GQ66" s="50"/>
      <c r="GR66" s="50"/>
      <c r="GS66" s="50"/>
      <c r="GT66" s="50"/>
      <c r="GU66" s="50"/>
      <c r="GV66" s="50"/>
      <c r="GW66" s="50"/>
      <c r="GX66" s="50"/>
      <c r="GY66" s="50"/>
      <c r="GZ66" s="50"/>
      <c r="HA66" s="50"/>
    </row>
    <row r="67" s="51" customFormat="1" spans="1:209">
      <c r="A67" s="50"/>
      <c r="B67" s="50"/>
      <c r="C67" s="50"/>
      <c r="D67" s="50"/>
      <c r="E67" s="50"/>
      <c r="F67" s="50"/>
      <c r="G67" s="50"/>
      <c r="H67" s="60" t="s">
        <v>76</v>
      </c>
      <c r="I67" s="60" t="s">
        <v>343</v>
      </c>
      <c r="J67" s="59">
        <v>4907</v>
      </c>
      <c r="K67" s="59">
        <v>29317</v>
      </c>
      <c r="L67" s="59">
        <v>168503</v>
      </c>
      <c r="M67" s="59">
        <v>6870</v>
      </c>
      <c r="N67" s="67">
        <v>209597</v>
      </c>
      <c r="O67" s="66">
        <v>212622</v>
      </c>
      <c r="P67" s="66">
        <f t="shared" si="1"/>
        <v>3025</v>
      </c>
      <c r="Q67" s="50"/>
      <c r="R67" s="50">
        <v>1</v>
      </c>
      <c r="S67" s="69" t="s">
        <v>76</v>
      </c>
      <c r="T67" s="50"/>
      <c r="U67" s="71" t="s">
        <v>344</v>
      </c>
      <c r="V67" s="50">
        <v>1</v>
      </c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</row>
    <row r="68" s="51" customFormat="1" spans="1:209">
      <c r="A68" s="50"/>
      <c r="B68" s="50"/>
      <c r="C68" s="50"/>
      <c r="D68" s="50"/>
      <c r="E68" s="50"/>
      <c r="F68" s="50"/>
      <c r="G68" s="50"/>
      <c r="H68" s="60" t="s">
        <v>76</v>
      </c>
      <c r="I68" s="60" t="s">
        <v>345</v>
      </c>
      <c r="J68" s="59">
        <v>12297</v>
      </c>
      <c r="K68" s="59">
        <v>61806</v>
      </c>
      <c r="L68" s="59">
        <v>298703</v>
      </c>
      <c r="M68" s="59">
        <v>24095</v>
      </c>
      <c r="N68" s="59">
        <v>396901</v>
      </c>
      <c r="O68" s="63">
        <v>319607</v>
      </c>
      <c r="P68" s="63">
        <f t="shared" ref="P68:P99" si="2">O68-N68</f>
        <v>-77294</v>
      </c>
      <c r="Q68" s="50"/>
      <c r="R68" s="50">
        <v>1</v>
      </c>
      <c r="S68" s="69" t="s">
        <v>76</v>
      </c>
      <c r="T68" s="50"/>
      <c r="U68" s="72" t="s">
        <v>346</v>
      </c>
      <c r="V68" s="50">
        <v>1</v>
      </c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0"/>
      <c r="CX68" s="50"/>
      <c r="CY68" s="50"/>
      <c r="CZ68" s="50"/>
      <c r="DA68" s="50"/>
      <c r="DB68" s="50"/>
      <c r="DC68" s="50"/>
      <c r="DD68" s="50"/>
      <c r="DE68" s="50"/>
      <c r="DF68" s="50"/>
      <c r="DG68" s="50"/>
      <c r="DH68" s="50"/>
      <c r="DI68" s="50"/>
      <c r="DJ68" s="50"/>
      <c r="DK68" s="50"/>
      <c r="DL68" s="50"/>
      <c r="DM68" s="50"/>
      <c r="DN68" s="50"/>
      <c r="DO68" s="50"/>
      <c r="DP68" s="50"/>
      <c r="DQ68" s="50"/>
      <c r="DR68" s="50"/>
      <c r="DS68" s="50"/>
      <c r="DT68" s="50"/>
      <c r="DU68" s="50"/>
      <c r="DV68" s="50"/>
      <c r="DW68" s="50"/>
      <c r="DX68" s="50"/>
      <c r="DY68" s="50"/>
      <c r="DZ68" s="50"/>
      <c r="EA68" s="50"/>
      <c r="EB68" s="50"/>
      <c r="EC68" s="50"/>
      <c r="ED68" s="50"/>
      <c r="EE68" s="50"/>
      <c r="EF68" s="50"/>
      <c r="EG68" s="50"/>
      <c r="EH68" s="50"/>
      <c r="EI68" s="50"/>
      <c r="EJ68" s="50"/>
      <c r="EK68" s="50"/>
      <c r="EL68" s="50"/>
      <c r="EM68" s="50"/>
      <c r="EN68" s="50"/>
      <c r="EO68" s="50"/>
      <c r="EP68" s="50"/>
      <c r="EQ68" s="50"/>
      <c r="ER68" s="50"/>
      <c r="ES68" s="50"/>
      <c r="ET68" s="50"/>
      <c r="EU68" s="50"/>
      <c r="EV68" s="50"/>
      <c r="EW68" s="50"/>
      <c r="EX68" s="50"/>
      <c r="EY68" s="50"/>
      <c r="EZ68" s="50"/>
      <c r="FA68" s="50"/>
      <c r="FB68" s="50"/>
      <c r="FC68" s="50"/>
      <c r="FD68" s="50"/>
      <c r="FE68" s="50"/>
      <c r="FF68" s="50"/>
      <c r="FG68" s="50"/>
      <c r="FH68" s="50"/>
      <c r="FI68" s="50"/>
      <c r="FJ68" s="50"/>
      <c r="FK68" s="50"/>
      <c r="FL68" s="50"/>
      <c r="FM68" s="50"/>
      <c r="FN68" s="50"/>
      <c r="FO68" s="50"/>
      <c r="FP68" s="50"/>
      <c r="FQ68" s="50"/>
      <c r="FR68" s="50"/>
      <c r="FS68" s="50"/>
      <c r="FT68" s="50"/>
      <c r="FU68" s="50"/>
      <c r="FV68" s="50"/>
      <c r="FW68" s="50"/>
      <c r="FX68" s="50"/>
      <c r="FY68" s="50"/>
      <c r="FZ68" s="50"/>
      <c r="GA68" s="50"/>
      <c r="GB68" s="50"/>
      <c r="GC68" s="50"/>
      <c r="GD68" s="50"/>
      <c r="GE68" s="50"/>
      <c r="GF68" s="50"/>
      <c r="GG68" s="50"/>
      <c r="GH68" s="50"/>
      <c r="GI68" s="50"/>
      <c r="GJ68" s="50"/>
      <c r="GK68" s="50"/>
      <c r="GL68" s="50"/>
      <c r="GM68" s="50"/>
      <c r="GN68" s="50"/>
      <c r="GO68" s="50"/>
      <c r="GP68" s="50"/>
      <c r="GQ68" s="50"/>
      <c r="GR68" s="50"/>
      <c r="GS68" s="50"/>
      <c r="GT68" s="50"/>
      <c r="GU68" s="50"/>
      <c r="GV68" s="50"/>
      <c r="GW68" s="50"/>
      <c r="GX68" s="50"/>
      <c r="GY68" s="50"/>
      <c r="GZ68" s="50"/>
      <c r="HA68" s="50"/>
    </row>
    <row r="69" s="51" customFormat="1" spans="1:209">
      <c r="A69" s="50"/>
      <c r="B69" s="50"/>
      <c r="C69" s="50"/>
      <c r="D69" s="50"/>
      <c r="E69" s="50"/>
      <c r="F69" s="50"/>
      <c r="G69" s="50"/>
      <c r="H69" s="60" t="s">
        <v>76</v>
      </c>
      <c r="I69" s="60" t="s">
        <v>282</v>
      </c>
      <c r="J69" s="59">
        <v>9707</v>
      </c>
      <c r="K69" s="59">
        <v>48503</v>
      </c>
      <c r="L69" s="59">
        <v>334671</v>
      </c>
      <c r="M69" s="59">
        <v>32652</v>
      </c>
      <c r="N69" s="59">
        <v>425533</v>
      </c>
      <c r="O69" s="63">
        <v>497405</v>
      </c>
      <c r="P69" s="63">
        <f t="shared" si="2"/>
        <v>71872</v>
      </c>
      <c r="Q69" s="50">
        <v>1</v>
      </c>
      <c r="R69" s="50">
        <v>1</v>
      </c>
      <c r="S69" s="69" t="s">
        <v>76</v>
      </c>
      <c r="T69" s="50"/>
      <c r="U69" s="71" t="s">
        <v>347</v>
      </c>
      <c r="V69" s="50">
        <v>1</v>
      </c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0"/>
      <c r="CX69" s="50"/>
      <c r="CY69" s="50"/>
      <c r="CZ69" s="50"/>
      <c r="DA69" s="50"/>
      <c r="DB69" s="50"/>
      <c r="DC69" s="50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50"/>
      <c r="DS69" s="50"/>
      <c r="DT69" s="50"/>
      <c r="DU69" s="50"/>
      <c r="DV69" s="50"/>
      <c r="DW69" s="50"/>
      <c r="DX69" s="50"/>
      <c r="DY69" s="50"/>
      <c r="DZ69" s="50"/>
      <c r="EA69" s="50"/>
      <c r="EB69" s="50"/>
      <c r="EC69" s="50"/>
      <c r="ED69" s="50"/>
      <c r="EE69" s="50"/>
      <c r="EF69" s="50"/>
      <c r="EG69" s="50"/>
      <c r="EH69" s="50"/>
      <c r="EI69" s="50"/>
      <c r="EJ69" s="50"/>
      <c r="EK69" s="50"/>
      <c r="EL69" s="50"/>
      <c r="EM69" s="50"/>
      <c r="EN69" s="50"/>
      <c r="EO69" s="50"/>
      <c r="EP69" s="50"/>
      <c r="EQ69" s="50"/>
      <c r="ER69" s="50"/>
      <c r="ES69" s="50"/>
      <c r="ET69" s="50"/>
      <c r="EU69" s="50"/>
      <c r="EV69" s="50"/>
      <c r="EW69" s="50"/>
      <c r="EX69" s="50"/>
      <c r="EY69" s="50"/>
      <c r="EZ69" s="50"/>
      <c r="FA69" s="50"/>
      <c r="FB69" s="50"/>
      <c r="FC69" s="50"/>
      <c r="FD69" s="50"/>
      <c r="FE69" s="50"/>
      <c r="FF69" s="50"/>
      <c r="FG69" s="50"/>
      <c r="FH69" s="50"/>
      <c r="FI69" s="50"/>
      <c r="FJ69" s="50"/>
      <c r="FK69" s="50"/>
      <c r="FL69" s="50"/>
      <c r="FM69" s="50"/>
      <c r="FN69" s="50"/>
      <c r="FO69" s="50"/>
      <c r="FP69" s="50"/>
      <c r="FQ69" s="50"/>
      <c r="FR69" s="50"/>
      <c r="FS69" s="50"/>
      <c r="FT69" s="50"/>
      <c r="FU69" s="50"/>
      <c r="FV69" s="50"/>
      <c r="FW69" s="50"/>
      <c r="FX69" s="50"/>
      <c r="FY69" s="50"/>
      <c r="FZ69" s="50"/>
      <c r="GA69" s="50"/>
      <c r="GB69" s="50"/>
      <c r="GC69" s="50"/>
      <c r="GD69" s="50"/>
      <c r="GE69" s="50"/>
      <c r="GF69" s="50"/>
      <c r="GG69" s="50"/>
      <c r="GH69" s="50"/>
      <c r="GI69" s="50"/>
      <c r="GJ69" s="50"/>
      <c r="GK69" s="50"/>
      <c r="GL69" s="50"/>
      <c r="GM69" s="50"/>
      <c r="GN69" s="50"/>
      <c r="GO69" s="50"/>
      <c r="GP69" s="50"/>
      <c r="GQ69" s="50"/>
      <c r="GR69" s="50"/>
      <c r="GS69" s="50"/>
      <c r="GT69" s="50"/>
      <c r="GU69" s="50"/>
      <c r="GV69" s="50"/>
      <c r="GW69" s="50"/>
      <c r="GX69" s="50"/>
      <c r="GY69" s="50"/>
      <c r="GZ69" s="50"/>
      <c r="HA69" s="50"/>
    </row>
    <row r="70" s="51" customFormat="1" ht="14.25" spans="1:209">
      <c r="A70" s="50"/>
      <c r="B70" s="50"/>
      <c r="C70" s="50"/>
      <c r="D70" s="50"/>
      <c r="E70" s="50"/>
      <c r="F70" s="50"/>
      <c r="G70" s="50"/>
      <c r="H70" s="60" t="s">
        <v>76</v>
      </c>
      <c r="I70" s="60" t="s">
        <v>284</v>
      </c>
      <c r="J70" s="59">
        <v>10329</v>
      </c>
      <c r="K70" s="59">
        <v>47260</v>
      </c>
      <c r="L70" s="59">
        <v>267281</v>
      </c>
      <c r="M70" s="59">
        <v>46127</v>
      </c>
      <c r="N70" s="59">
        <v>370997</v>
      </c>
      <c r="O70" s="63">
        <v>387606</v>
      </c>
      <c r="P70" s="63">
        <f t="shared" si="2"/>
        <v>16609</v>
      </c>
      <c r="Q70" s="50">
        <v>1</v>
      </c>
      <c r="R70" s="50">
        <v>1</v>
      </c>
      <c r="S70" s="69" t="s">
        <v>76</v>
      </c>
      <c r="T70" s="50"/>
      <c r="U70" s="23" t="s">
        <v>120</v>
      </c>
      <c r="V70" s="50">
        <v>1</v>
      </c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  <c r="DT70" s="50"/>
      <c r="DU70" s="50"/>
      <c r="DV70" s="50"/>
      <c r="DW70" s="50"/>
      <c r="DX70" s="50"/>
      <c r="DY70" s="50"/>
      <c r="DZ70" s="50"/>
      <c r="EA70" s="50"/>
      <c r="EB70" s="50"/>
      <c r="EC70" s="50"/>
      <c r="ED70" s="50"/>
      <c r="EE70" s="50"/>
      <c r="EF70" s="50"/>
      <c r="EG70" s="50"/>
      <c r="EH70" s="50"/>
      <c r="EI70" s="50"/>
      <c r="EJ70" s="50"/>
      <c r="EK70" s="50"/>
      <c r="EL70" s="50"/>
      <c r="EM70" s="50"/>
      <c r="EN70" s="50"/>
      <c r="EO70" s="50"/>
      <c r="EP70" s="50"/>
      <c r="EQ70" s="50"/>
      <c r="ER70" s="50"/>
      <c r="ES70" s="50"/>
      <c r="ET70" s="50"/>
      <c r="EU70" s="50"/>
      <c r="EV70" s="50"/>
      <c r="EW70" s="50"/>
      <c r="EX70" s="50"/>
      <c r="EY70" s="50"/>
      <c r="EZ70" s="50"/>
      <c r="FA70" s="50"/>
      <c r="FB70" s="50"/>
      <c r="FC70" s="50"/>
      <c r="FD70" s="50"/>
      <c r="FE70" s="50"/>
      <c r="FF70" s="50"/>
      <c r="FG70" s="50"/>
      <c r="FH70" s="50"/>
      <c r="FI70" s="50"/>
      <c r="FJ70" s="50"/>
      <c r="FK70" s="50"/>
      <c r="FL70" s="50"/>
      <c r="FM70" s="50"/>
      <c r="FN70" s="50"/>
      <c r="FO70" s="50"/>
      <c r="FP70" s="50"/>
      <c r="FQ70" s="50"/>
      <c r="FR70" s="50"/>
      <c r="FS70" s="50"/>
      <c r="FT70" s="50"/>
      <c r="FU70" s="50"/>
      <c r="FV70" s="50"/>
      <c r="FW70" s="50"/>
      <c r="FX70" s="50"/>
      <c r="FY70" s="50"/>
      <c r="FZ70" s="50"/>
      <c r="GA70" s="50"/>
      <c r="GB70" s="50"/>
      <c r="GC70" s="50"/>
      <c r="GD70" s="50"/>
      <c r="GE70" s="50"/>
      <c r="GF70" s="50"/>
      <c r="GG70" s="50"/>
      <c r="GH70" s="50"/>
      <c r="GI70" s="50"/>
      <c r="GJ70" s="50"/>
      <c r="GK70" s="50"/>
      <c r="GL70" s="50"/>
      <c r="GM70" s="50"/>
      <c r="GN70" s="50"/>
      <c r="GO70" s="50"/>
      <c r="GP70" s="50"/>
      <c r="GQ70" s="50"/>
      <c r="GR70" s="50"/>
      <c r="GS70" s="50"/>
      <c r="GT70" s="50"/>
      <c r="GU70" s="50"/>
      <c r="GV70" s="50"/>
      <c r="GW70" s="50"/>
      <c r="GX70" s="50"/>
      <c r="GY70" s="50"/>
      <c r="GZ70" s="50"/>
      <c r="HA70" s="50"/>
    </row>
    <row r="71" s="51" customFormat="1" spans="1:209">
      <c r="A71" s="50"/>
      <c r="B71" s="50"/>
      <c r="C71" s="50"/>
      <c r="D71" s="50"/>
      <c r="E71" s="50"/>
      <c r="F71" s="50"/>
      <c r="G71" s="50"/>
      <c r="H71" s="60" t="s">
        <v>76</v>
      </c>
      <c r="I71" s="60" t="s">
        <v>286</v>
      </c>
      <c r="J71" s="59">
        <v>18514</v>
      </c>
      <c r="K71" s="59">
        <v>95792</v>
      </c>
      <c r="L71" s="59">
        <v>527130</v>
      </c>
      <c r="M71" s="59">
        <v>75043</v>
      </c>
      <c r="N71" s="59">
        <v>716479</v>
      </c>
      <c r="O71" s="63">
        <v>792270</v>
      </c>
      <c r="P71" s="63">
        <f t="shared" si="2"/>
        <v>75791</v>
      </c>
      <c r="Q71" s="50">
        <v>1</v>
      </c>
      <c r="R71" s="50">
        <v>1</v>
      </c>
      <c r="S71" s="69" t="s">
        <v>76</v>
      </c>
      <c r="T71" s="50"/>
      <c r="U71" s="71" t="s">
        <v>58</v>
      </c>
      <c r="V71" s="50">
        <v>1</v>
      </c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  <c r="DT71" s="50"/>
      <c r="DU71" s="50"/>
      <c r="DV71" s="50"/>
      <c r="DW71" s="50"/>
      <c r="DX71" s="50"/>
      <c r="DY71" s="50"/>
      <c r="DZ71" s="50"/>
      <c r="EA71" s="50"/>
      <c r="EB71" s="50"/>
      <c r="EC71" s="50"/>
      <c r="ED71" s="50"/>
      <c r="EE71" s="50"/>
      <c r="EF71" s="50"/>
      <c r="EG71" s="50"/>
      <c r="EH71" s="50"/>
      <c r="EI71" s="50"/>
      <c r="EJ71" s="50"/>
      <c r="EK71" s="50"/>
      <c r="EL71" s="50"/>
      <c r="EM71" s="50"/>
      <c r="EN71" s="50"/>
      <c r="EO71" s="50"/>
      <c r="EP71" s="50"/>
      <c r="EQ71" s="50"/>
      <c r="ER71" s="50"/>
      <c r="ES71" s="50"/>
      <c r="ET71" s="50"/>
      <c r="EU71" s="50"/>
      <c r="EV71" s="50"/>
      <c r="EW71" s="50"/>
      <c r="EX71" s="50"/>
      <c r="EY71" s="50"/>
      <c r="EZ71" s="50"/>
      <c r="FA71" s="50"/>
      <c r="FB71" s="50"/>
      <c r="FC71" s="50"/>
      <c r="FD71" s="50"/>
      <c r="FE71" s="50"/>
      <c r="FF71" s="50"/>
      <c r="FG71" s="50"/>
      <c r="FH71" s="50"/>
      <c r="FI71" s="50"/>
      <c r="FJ71" s="50"/>
      <c r="FK71" s="50"/>
      <c r="FL71" s="50"/>
      <c r="FM71" s="50"/>
      <c r="FN71" s="50"/>
      <c r="FO71" s="50"/>
      <c r="FP71" s="50"/>
      <c r="FQ71" s="50"/>
      <c r="FR71" s="50"/>
      <c r="FS71" s="50"/>
      <c r="FT71" s="50"/>
      <c r="FU71" s="50"/>
      <c r="FV71" s="50"/>
      <c r="FW71" s="50"/>
      <c r="FX71" s="50"/>
      <c r="FY71" s="50"/>
      <c r="FZ71" s="50"/>
      <c r="GA71" s="50"/>
      <c r="GB71" s="50"/>
      <c r="GC71" s="50"/>
      <c r="GD71" s="50"/>
      <c r="GE71" s="50"/>
      <c r="GF71" s="50"/>
      <c r="GG71" s="50"/>
      <c r="GH71" s="50"/>
      <c r="GI71" s="50"/>
      <c r="GJ71" s="50"/>
      <c r="GK71" s="50"/>
      <c r="GL71" s="50"/>
      <c r="GM71" s="50"/>
      <c r="GN71" s="50"/>
      <c r="GO71" s="50"/>
      <c r="GP71" s="50"/>
      <c r="GQ71" s="50"/>
      <c r="GR71" s="50"/>
      <c r="GS71" s="50"/>
      <c r="GT71" s="50"/>
      <c r="GU71" s="50"/>
      <c r="GV71" s="50"/>
      <c r="GW71" s="50"/>
      <c r="GX71" s="50"/>
      <c r="GY71" s="50"/>
      <c r="GZ71" s="50"/>
      <c r="HA71" s="50"/>
    </row>
    <row r="72" s="51" customFormat="1" spans="1:209">
      <c r="A72" s="50"/>
      <c r="B72" s="50"/>
      <c r="C72" s="50"/>
      <c r="D72" s="50"/>
      <c r="E72" s="50"/>
      <c r="F72" s="50"/>
      <c r="G72" s="50"/>
      <c r="H72" s="60" t="s">
        <v>76</v>
      </c>
      <c r="I72" s="60" t="s">
        <v>288</v>
      </c>
      <c r="J72" s="59">
        <v>22766</v>
      </c>
      <c r="K72" s="59">
        <v>95665</v>
      </c>
      <c r="L72" s="59">
        <v>509069</v>
      </c>
      <c r="M72" s="59">
        <v>22187</v>
      </c>
      <c r="N72" s="59">
        <v>649687</v>
      </c>
      <c r="O72" s="63">
        <v>775857</v>
      </c>
      <c r="P72" s="63">
        <f t="shared" si="2"/>
        <v>126170</v>
      </c>
      <c r="Q72" s="50">
        <v>1</v>
      </c>
      <c r="R72" s="50">
        <v>1</v>
      </c>
      <c r="S72" s="69" t="s">
        <v>76</v>
      </c>
      <c r="T72" s="50"/>
      <c r="U72" s="72" t="s">
        <v>330</v>
      </c>
      <c r="V72" s="50">
        <v>1</v>
      </c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50"/>
      <c r="DY72" s="50"/>
      <c r="DZ72" s="50"/>
      <c r="EA72" s="50"/>
      <c r="EB72" s="50"/>
      <c r="EC72" s="50"/>
      <c r="ED72" s="50"/>
      <c r="EE72" s="50"/>
      <c r="EF72" s="50"/>
      <c r="EG72" s="50"/>
      <c r="EH72" s="50"/>
      <c r="EI72" s="50"/>
      <c r="EJ72" s="50"/>
      <c r="EK72" s="50"/>
      <c r="EL72" s="50"/>
      <c r="EM72" s="50"/>
      <c r="EN72" s="50"/>
      <c r="EO72" s="50"/>
      <c r="EP72" s="50"/>
      <c r="EQ72" s="50"/>
      <c r="ER72" s="50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0"/>
      <c r="FG72" s="50"/>
      <c r="FH72" s="50"/>
      <c r="FI72" s="50"/>
      <c r="FJ72" s="50"/>
      <c r="FK72" s="50"/>
      <c r="FL72" s="50"/>
      <c r="FM72" s="50"/>
      <c r="FN72" s="50"/>
      <c r="FO72" s="50"/>
      <c r="FP72" s="50"/>
      <c r="FQ72" s="50"/>
      <c r="FR72" s="50"/>
      <c r="FS72" s="50"/>
      <c r="FT72" s="50"/>
      <c r="FU72" s="50"/>
      <c r="FV72" s="50"/>
      <c r="FW72" s="50"/>
      <c r="FX72" s="50"/>
      <c r="FY72" s="50"/>
      <c r="FZ72" s="50"/>
      <c r="GA72" s="50"/>
      <c r="GB72" s="50"/>
      <c r="GC72" s="50"/>
      <c r="GD72" s="50"/>
      <c r="GE72" s="50"/>
      <c r="GF72" s="50"/>
      <c r="GG72" s="50"/>
      <c r="GH72" s="50"/>
      <c r="GI72" s="50"/>
      <c r="GJ72" s="50"/>
      <c r="GK72" s="50"/>
      <c r="GL72" s="50"/>
      <c r="GM72" s="50"/>
      <c r="GN72" s="50"/>
      <c r="GO72" s="50"/>
      <c r="GP72" s="50"/>
      <c r="GQ72" s="50"/>
      <c r="GR72" s="50"/>
      <c r="GS72" s="50"/>
      <c r="GT72" s="50"/>
      <c r="GU72" s="50"/>
      <c r="GV72" s="50"/>
      <c r="GW72" s="50"/>
      <c r="GX72" s="50"/>
      <c r="GY72" s="50"/>
      <c r="GZ72" s="50"/>
      <c r="HA72" s="50"/>
    </row>
    <row r="73" s="51" customFormat="1" spans="1:209">
      <c r="A73" s="50"/>
      <c r="B73" s="50"/>
      <c r="C73" s="50"/>
      <c r="D73" s="50"/>
      <c r="E73" s="50"/>
      <c r="F73" s="50"/>
      <c r="G73" s="50"/>
      <c r="H73" s="60" t="s">
        <v>76</v>
      </c>
      <c r="I73" s="60" t="s">
        <v>290</v>
      </c>
      <c r="J73" s="59">
        <v>16303</v>
      </c>
      <c r="K73" s="59">
        <v>87403</v>
      </c>
      <c r="L73" s="59">
        <v>364394</v>
      </c>
      <c r="M73" s="59">
        <v>15837</v>
      </c>
      <c r="N73" s="59">
        <v>483937</v>
      </c>
      <c r="O73" s="63">
        <v>547387</v>
      </c>
      <c r="P73" s="63">
        <f t="shared" si="2"/>
        <v>63450</v>
      </c>
      <c r="Q73" s="50">
        <v>1</v>
      </c>
      <c r="R73" s="50">
        <v>1</v>
      </c>
      <c r="S73" s="69" t="s">
        <v>76</v>
      </c>
      <c r="T73" s="50"/>
      <c r="U73" s="71" t="s">
        <v>333</v>
      </c>
      <c r="V73" s="50">
        <v>1</v>
      </c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  <c r="CZ73" s="50"/>
      <c r="DA73" s="50"/>
      <c r="DB73" s="50"/>
      <c r="DC73" s="50"/>
      <c r="DD73" s="50"/>
      <c r="DE73" s="50"/>
      <c r="DF73" s="50"/>
      <c r="DG73" s="50"/>
      <c r="DH73" s="50"/>
      <c r="DI73" s="50"/>
      <c r="DJ73" s="50"/>
      <c r="DK73" s="50"/>
      <c r="DL73" s="50"/>
      <c r="DM73" s="50"/>
      <c r="DN73" s="50"/>
      <c r="DO73" s="50"/>
      <c r="DP73" s="50"/>
      <c r="DQ73" s="50"/>
      <c r="DR73" s="50"/>
      <c r="DS73" s="50"/>
      <c r="DT73" s="50"/>
      <c r="DU73" s="50"/>
      <c r="DV73" s="50"/>
      <c r="DW73" s="50"/>
      <c r="DX73" s="50"/>
      <c r="DY73" s="50"/>
      <c r="DZ73" s="50"/>
      <c r="EA73" s="50"/>
      <c r="EB73" s="50"/>
      <c r="EC73" s="50"/>
      <c r="ED73" s="50"/>
      <c r="EE73" s="50"/>
      <c r="EF73" s="50"/>
      <c r="EG73" s="50"/>
      <c r="EH73" s="50"/>
      <c r="EI73" s="50"/>
      <c r="EJ73" s="50"/>
      <c r="EK73" s="50"/>
      <c r="EL73" s="50"/>
      <c r="EM73" s="50"/>
      <c r="EN73" s="50"/>
      <c r="EO73" s="50"/>
      <c r="EP73" s="50"/>
      <c r="EQ73" s="50"/>
      <c r="ER73" s="50"/>
      <c r="ES73" s="50"/>
      <c r="ET73" s="50"/>
      <c r="EU73" s="50"/>
      <c r="EV73" s="50"/>
      <c r="EW73" s="50"/>
      <c r="EX73" s="50"/>
      <c r="EY73" s="50"/>
      <c r="EZ73" s="50"/>
      <c r="FA73" s="50"/>
      <c r="FB73" s="50"/>
      <c r="FC73" s="50"/>
      <c r="FD73" s="50"/>
      <c r="FE73" s="50"/>
      <c r="FF73" s="50"/>
      <c r="FG73" s="50"/>
      <c r="FH73" s="50"/>
      <c r="FI73" s="50"/>
      <c r="FJ73" s="50"/>
      <c r="FK73" s="50"/>
      <c r="FL73" s="50"/>
      <c r="FM73" s="50"/>
      <c r="FN73" s="50"/>
      <c r="FO73" s="50"/>
      <c r="FP73" s="50"/>
      <c r="FQ73" s="50"/>
      <c r="FR73" s="50"/>
      <c r="FS73" s="50"/>
      <c r="FT73" s="50"/>
      <c r="FU73" s="50"/>
      <c r="FV73" s="50"/>
      <c r="FW73" s="50"/>
      <c r="FX73" s="50"/>
      <c r="FY73" s="50"/>
      <c r="FZ73" s="50"/>
      <c r="GA73" s="50"/>
      <c r="GB73" s="50"/>
      <c r="GC73" s="50"/>
      <c r="GD73" s="50"/>
      <c r="GE73" s="50"/>
      <c r="GF73" s="50"/>
      <c r="GG73" s="50"/>
      <c r="GH73" s="50"/>
      <c r="GI73" s="50"/>
      <c r="GJ73" s="50"/>
      <c r="GK73" s="50"/>
      <c r="GL73" s="50"/>
      <c r="GM73" s="50"/>
      <c r="GN73" s="50"/>
      <c r="GO73" s="50"/>
      <c r="GP73" s="50"/>
      <c r="GQ73" s="50"/>
      <c r="GR73" s="50"/>
      <c r="GS73" s="50"/>
      <c r="GT73" s="50"/>
      <c r="GU73" s="50"/>
      <c r="GV73" s="50"/>
      <c r="GW73" s="50"/>
      <c r="GX73" s="50"/>
      <c r="GY73" s="50"/>
      <c r="GZ73" s="50"/>
      <c r="HA73" s="50"/>
    </row>
    <row r="74" s="51" customFormat="1" ht="14.25" spans="1:209">
      <c r="A74" s="50"/>
      <c r="B74" s="50"/>
      <c r="C74" s="50"/>
      <c r="D74" s="50"/>
      <c r="E74" s="50"/>
      <c r="F74" s="50"/>
      <c r="G74" s="50"/>
      <c r="H74" s="60" t="s">
        <v>100</v>
      </c>
      <c r="I74" s="60" t="s">
        <v>348</v>
      </c>
      <c r="J74" s="59">
        <v>8715</v>
      </c>
      <c r="K74" s="59">
        <v>39172</v>
      </c>
      <c r="L74" s="59">
        <v>251363</v>
      </c>
      <c r="M74" s="59">
        <v>9321</v>
      </c>
      <c r="N74" s="59">
        <v>308571</v>
      </c>
      <c r="O74" s="63">
        <v>290798</v>
      </c>
      <c r="P74" s="63">
        <f t="shared" si="2"/>
        <v>-17773</v>
      </c>
      <c r="Q74" s="50"/>
      <c r="R74" s="50">
        <v>1</v>
      </c>
      <c r="S74" s="69" t="s">
        <v>100</v>
      </c>
      <c r="T74" s="50"/>
      <c r="U74" s="23" t="s">
        <v>123</v>
      </c>
      <c r="V74" s="50">
        <v>1</v>
      </c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/>
      <c r="CZ74" s="50"/>
      <c r="DA74" s="50"/>
      <c r="DB74" s="50"/>
      <c r="DC74" s="50"/>
      <c r="DD74" s="50"/>
      <c r="DE74" s="50"/>
      <c r="DF74" s="50"/>
      <c r="DG74" s="50"/>
      <c r="DH74" s="50"/>
      <c r="DI74" s="50"/>
      <c r="DJ74" s="50"/>
      <c r="DK74" s="50"/>
      <c r="DL74" s="50"/>
      <c r="DM74" s="50"/>
      <c r="DN74" s="50"/>
      <c r="DO74" s="50"/>
      <c r="DP74" s="50"/>
      <c r="DQ74" s="50"/>
      <c r="DR74" s="50"/>
      <c r="DS74" s="50"/>
      <c r="DT74" s="50"/>
      <c r="DU74" s="50"/>
      <c r="DV74" s="50"/>
      <c r="DW74" s="50"/>
      <c r="DX74" s="50"/>
      <c r="DY74" s="50"/>
      <c r="DZ74" s="50"/>
      <c r="EA74" s="50"/>
      <c r="EB74" s="50"/>
      <c r="EC74" s="50"/>
      <c r="ED74" s="50"/>
      <c r="EE74" s="50"/>
      <c r="EF74" s="50"/>
      <c r="EG74" s="50"/>
      <c r="EH74" s="50"/>
      <c r="EI74" s="50"/>
      <c r="EJ74" s="50"/>
      <c r="EK74" s="50"/>
      <c r="EL74" s="50"/>
      <c r="EM74" s="50"/>
      <c r="EN74" s="50"/>
      <c r="EO74" s="50"/>
      <c r="EP74" s="50"/>
      <c r="EQ74" s="50"/>
      <c r="ER74" s="50"/>
      <c r="ES74" s="50"/>
      <c r="ET74" s="50"/>
      <c r="EU74" s="50"/>
      <c r="EV74" s="50"/>
      <c r="EW74" s="50"/>
      <c r="EX74" s="50"/>
      <c r="EY74" s="50"/>
      <c r="EZ74" s="50"/>
      <c r="FA74" s="50"/>
      <c r="FB74" s="50"/>
      <c r="FC74" s="50"/>
      <c r="FD74" s="50"/>
      <c r="FE74" s="50"/>
      <c r="FF74" s="50"/>
      <c r="FG74" s="50"/>
      <c r="FH74" s="50"/>
      <c r="FI74" s="50"/>
      <c r="FJ74" s="50"/>
      <c r="FK74" s="50"/>
      <c r="FL74" s="50"/>
      <c r="FM74" s="50"/>
      <c r="FN74" s="50"/>
      <c r="FO74" s="50"/>
      <c r="FP74" s="50"/>
      <c r="FQ74" s="50"/>
      <c r="FR74" s="50"/>
      <c r="FS74" s="50"/>
      <c r="FT74" s="50"/>
      <c r="FU74" s="50"/>
      <c r="FV74" s="50"/>
      <c r="FW74" s="50"/>
      <c r="FX74" s="50"/>
      <c r="FY74" s="50"/>
      <c r="FZ74" s="50"/>
      <c r="GA74" s="50"/>
      <c r="GB74" s="50"/>
      <c r="GC74" s="50"/>
      <c r="GD74" s="50"/>
      <c r="GE74" s="50"/>
      <c r="GF74" s="50"/>
      <c r="GG74" s="50"/>
      <c r="GH74" s="50"/>
      <c r="GI74" s="50"/>
      <c r="GJ74" s="50"/>
      <c r="GK74" s="50"/>
      <c r="GL74" s="50"/>
      <c r="GM74" s="50"/>
      <c r="GN74" s="50"/>
      <c r="GO74" s="50"/>
      <c r="GP74" s="50"/>
      <c r="GQ74" s="50"/>
      <c r="GR74" s="50"/>
      <c r="GS74" s="50"/>
      <c r="GT74" s="50"/>
      <c r="GU74" s="50"/>
      <c r="GV74" s="50"/>
      <c r="GW74" s="50"/>
      <c r="GX74" s="50"/>
      <c r="GY74" s="50"/>
      <c r="GZ74" s="50"/>
      <c r="HA74" s="50"/>
    </row>
    <row r="75" s="51" customFormat="1" spans="1:209">
      <c r="A75" s="50"/>
      <c r="B75" s="50"/>
      <c r="C75" s="50"/>
      <c r="D75" s="50"/>
      <c r="E75" s="50"/>
      <c r="F75" s="50"/>
      <c r="G75" s="50"/>
      <c r="H75" s="60" t="s">
        <v>100</v>
      </c>
      <c r="I75" s="60" t="s">
        <v>349</v>
      </c>
      <c r="J75" s="59">
        <v>9800</v>
      </c>
      <c r="K75" s="59">
        <v>44373</v>
      </c>
      <c r="L75" s="59">
        <v>313201</v>
      </c>
      <c r="M75" s="59">
        <v>3013</v>
      </c>
      <c r="N75" s="59">
        <v>370387</v>
      </c>
      <c r="O75" s="63">
        <v>370105</v>
      </c>
      <c r="P75" s="63">
        <f t="shared" si="2"/>
        <v>-282</v>
      </c>
      <c r="Q75" s="50"/>
      <c r="R75" s="50">
        <v>1</v>
      </c>
      <c r="S75" s="69" t="s">
        <v>100</v>
      </c>
      <c r="T75" s="50"/>
      <c r="U75" s="71" t="s">
        <v>58</v>
      </c>
      <c r="V75" s="50">
        <v>1</v>
      </c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  <c r="DA75" s="50"/>
      <c r="DB75" s="50"/>
      <c r="DC75" s="50"/>
      <c r="DD75" s="50"/>
      <c r="DE75" s="50"/>
      <c r="DF75" s="50"/>
      <c r="DG75" s="50"/>
      <c r="DH75" s="50"/>
      <c r="DI75" s="50"/>
      <c r="DJ75" s="50"/>
      <c r="DK75" s="50"/>
      <c r="DL75" s="50"/>
      <c r="DM75" s="50"/>
      <c r="DN75" s="50"/>
      <c r="DO75" s="50"/>
      <c r="DP75" s="50"/>
      <c r="DQ75" s="50"/>
      <c r="DR75" s="50"/>
      <c r="DS75" s="50"/>
      <c r="DT75" s="50"/>
      <c r="DU75" s="50"/>
      <c r="DV75" s="50"/>
      <c r="DW75" s="50"/>
      <c r="DX75" s="50"/>
      <c r="DY75" s="50"/>
      <c r="DZ75" s="50"/>
      <c r="EA75" s="50"/>
      <c r="EB75" s="50"/>
      <c r="EC75" s="50"/>
      <c r="ED75" s="50"/>
      <c r="EE75" s="50"/>
      <c r="EF75" s="50"/>
      <c r="EG75" s="50"/>
      <c r="EH75" s="50"/>
      <c r="EI75" s="50"/>
      <c r="EJ75" s="50"/>
      <c r="EK75" s="50"/>
      <c r="EL75" s="50"/>
      <c r="EM75" s="50"/>
      <c r="EN75" s="50"/>
      <c r="EO75" s="50"/>
      <c r="EP75" s="50"/>
      <c r="EQ75" s="50"/>
      <c r="ER75" s="50"/>
      <c r="ES75" s="50"/>
      <c r="ET75" s="50"/>
      <c r="EU75" s="50"/>
      <c r="EV75" s="50"/>
      <c r="EW75" s="50"/>
      <c r="EX75" s="50"/>
      <c r="EY75" s="50"/>
      <c r="EZ75" s="50"/>
      <c r="FA75" s="50"/>
      <c r="FB75" s="50"/>
      <c r="FC75" s="50"/>
      <c r="FD75" s="50"/>
      <c r="FE75" s="50"/>
      <c r="FF75" s="50"/>
      <c r="FG75" s="50"/>
      <c r="FH75" s="50"/>
      <c r="FI75" s="50"/>
      <c r="FJ75" s="50"/>
      <c r="FK75" s="50"/>
      <c r="FL75" s="50"/>
      <c r="FM75" s="50"/>
      <c r="FN75" s="50"/>
      <c r="FO75" s="50"/>
      <c r="FP75" s="50"/>
      <c r="FQ75" s="50"/>
      <c r="FR75" s="50"/>
      <c r="FS75" s="50"/>
      <c r="FT75" s="50"/>
      <c r="FU75" s="50"/>
      <c r="FV75" s="50"/>
      <c r="FW75" s="50"/>
      <c r="FX75" s="50"/>
      <c r="FY75" s="50"/>
      <c r="FZ75" s="50"/>
      <c r="GA75" s="50"/>
      <c r="GB75" s="50"/>
      <c r="GC75" s="50"/>
      <c r="GD75" s="50"/>
      <c r="GE75" s="50"/>
      <c r="GF75" s="50"/>
      <c r="GG75" s="50"/>
      <c r="GH75" s="50"/>
      <c r="GI75" s="50"/>
      <c r="GJ75" s="50"/>
      <c r="GK75" s="50"/>
      <c r="GL75" s="50"/>
      <c r="GM75" s="50"/>
      <c r="GN75" s="50"/>
      <c r="GO75" s="50"/>
      <c r="GP75" s="50"/>
      <c r="GQ75" s="50"/>
      <c r="GR75" s="50"/>
      <c r="GS75" s="50"/>
      <c r="GT75" s="50"/>
      <c r="GU75" s="50"/>
      <c r="GV75" s="50"/>
      <c r="GW75" s="50"/>
      <c r="GX75" s="50"/>
      <c r="GY75" s="50"/>
      <c r="GZ75" s="50"/>
      <c r="HA75" s="50"/>
    </row>
    <row r="76" s="51" customFormat="1" spans="1:209">
      <c r="A76" s="50"/>
      <c r="B76" s="50"/>
      <c r="C76" s="50"/>
      <c r="D76" s="50"/>
      <c r="E76" s="50"/>
      <c r="F76" s="50"/>
      <c r="G76" s="50"/>
      <c r="H76" s="60" t="s">
        <v>100</v>
      </c>
      <c r="I76" s="60" t="s">
        <v>321</v>
      </c>
      <c r="J76" s="59">
        <v>4581</v>
      </c>
      <c r="K76" s="59">
        <v>19701</v>
      </c>
      <c r="L76" s="59">
        <v>159858</v>
      </c>
      <c r="M76" s="59">
        <v>2528</v>
      </c>
      <c r="N76" s="59">
        <v>186668</v>
      </c>
      <c r="O76" s="63">
        <v>204859</v>
      </c>
      <c r="P76" s="63">
        <f t="shared" si="2"/>
        <v>18191</v>
      </c>
      <c r="Q76" s="50">
        <v>1</v>
      </c>
      <c r="R76" s="50">
        <v>1</v>
      </c>
      <c r="S76" s="69" t="s">
        <v>100</v>
      </c>
      <c r="T76" s="50"/>
      <c r="U76" s="71" t="s">
        <v>316</v>
      </c>
      <c r="V76" s="50">
        <v>1</v>
      </c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50"/>
      <c r="CU76" s="50"/>
      <c r="CV76" s="50"/>
      <c r="CW76" s="50"/>
      <c r="CX76" s="50"/>
      <c r="CY76" s="50"/>
      <c r="CZ76" s="50"/>
      <c r="DA76" s="50"/>
      <c r="DB76" s="50"/>
      <c r="DC76" s="50"/>
      <c r="DD76" s="50"/>
      <c r="DE76" s="50"/>
      <c r="DF76" s="50"/>
      <c r="DG76" s="50"/>
      <c r="DH76" s="50"/>
      <c r="DI76" s="50"/>
      <c r="DJ76" s="50"/>
      <c r="DK76" s="50"/>
      <c r="DL76" s="50"/>
      <c r="DM76" s="50"/>
      <c r="DN76" s="50"/>
      <c r="DO76" s="50"/>
      <c r="DP76" s="50"/>
      <c r="DQ76" s="50"/>
      <c r="DR76" s="50"/>
      <c r="DS76" s="50"/>
      <c r="DT76" s="50"/>
      <c r="DU76" s="50"/>
      <c r="DV76" s="50"/>
      <c r="DW76" s="50"/>
      <c r="DX76" s="50"/>
      <c r="DY76" s="50"/>
      <c r="DZ76" s="50"/>
      <c r="EA76" s="50"/>
      <c r="EB76" s="50"/>
      <c r="EC76" s="50"/>
      <c r="ED76" s="50"/>
      <c r="EE76" s="50"/>
      <c r="EF76" s="50"/>
      <c r="EG76" s="50"/>
      <c r="EH76" s="50"/>
      <c r="EI76" s="50"/>
      <c r="EJ76" s="50"/>
      <c r="EK76" s="50"/>
      <c r="EL76" s="50"/>
      <c r="EM76" s="50"/>
      <c r="EN76" s="50"/>
      <c r="EO76" s="50"/>
      <c r="EP76" s="50"/>
      <c r="EQ76" s="50"/>
      <c r="ER76" s="50"/>
      <c r="ES76" s="50"/>
      <c r="ET76" s="50"/>
      <c r="EU76" s="50"/>
      <c r="EV76" s="50"/>
      <c r="EW76" s="50"/>
      <c r="EX76" s="50"/>
      <c r="EY76" s="50"/>
      <c r="EZ76" s="50"/>
      <c r="FA76" s="50"/>
      <c r="FB76" s="50"/>
      <c r="FC76" s="50"/>
      <c r="FD76" s="50"/>
      <c r="FE76" s="50"/>
      <c r="FF76" s="50"/>
      <c r="FG76" s="50"/>
      <c r="FH76" s="50"/>
      <c r="FI76" s="50"/>
      <c r="FJ76" s="50"/>
      <c r="FK76" s="50"/>
      <c r="FL76" s="50"/>
      <c r="FM76" s="50"/>
      <c r="FN76" s="50"/>
      <c r="FO76" s="50"/>
      <c r="FP76" s="50"/>
      <c r="FQ76" s="50"/>
      <c r="FR76" s="50"/>
      <c r="FS76" s="50"/>
      <c r="FT76" s="50"/>
      <c r="FU76" s="50"/>
      <c r="FV76" s="50"/>
      <c r="FW76" s="50"/>
      <c r="FX76" s="50"/>
      <c r="FY76" s="50"/>
      <c r="FZ76" s="50"/>
      <c r="GA76" s="50"/>
      <c r="GB76" s="50"/>
      <c r="GC76" s="50"/>
      <c r="GD76" s="50"/>
      <c r="GE76" s="50"/>
      <c r="GF76" s="50"/>
      <c r="GG76" s="50"/>
      <c r="GH76" s="50"/>
      <c r="GI76" s="50"/>
      <c r="GJ76" s="50"/>
      <c r="GK76" s="50"/>
      <c r="GL76" s="50"/>
      <c r="GM76" s="50"/>
      <c r="GN76" s="50"/>
      <c r="GO76" s="50"/>
      <c r="GP76" s="50"/>
      <c r="GQ76" s="50"/>
      <c r="GR76" s="50"/>
      <c r="GS76" s="50"/>
      <c r="GT76" s="50"/>
      <c r="GU76" s="50"/>
      <c r="GV76" s="50"/>
      <c r="GW76" s="50"/>
      <c r="GX76" s="50"/>
      <c r="GY76" s="50"/>
      <c r="GZ76" s="50"/>
      <c r="HA76" s="50"/>
    </row>
    <row r="77" s="51" customFormat="1" spans="1:209">
      <c r="A77" s="50"/>
      <c r="B77" s="50"/>
      <c r="C77" s="50"/>
      <c r="D77" s="50"/>
      <c r="E77" s="50"/>
      <c r="F77" s="50"/>
      <c r="G77" s="50"/>
      <c r="H77" s="60" t="s">
        <v>100</v>
      </c>
      <c r="I77" s="60" t="s">
        <v>323</v>
      </c>
      <c r="J77" s="59">
        <v>7748</v>
      </c>
      <c r="K77" s="59">
        <v>40623</v>
      </c>
      <c r="L77" s="59">
        <v>213383</v>
      </c>
      <c r="M77" s="59">
        <v>5145</v>
      </c>
      <c r="N77" s="59">
        <v>266899</v>
      </c>
      <c r="O77" s="63">
        <v>295089</v>
      </c>
      <c r="P77" s="63">
        <f t="shared" si="2"/>
        <v>28190</v>
      </c>
      <c r="Q77" s="50">
        <v>1</v>
      </c>
      <c r="R77" s="50">
        <v>1</v>
      </c>
      <c r="S77" s="69" t="s">
        <v>100</v>
      </c>
      <c r="T77" s="50"/>
      <c r="U77" s="71" t="s">
        <v>318</v>
      </c>
      <c r="V77" s="50">
        <v>1</v>
      </c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50"/>
      <c r="CX77" s="50"/>
      <c r="CY77" s="50"/>
      <c r="CZ77" s="50"/>
      <c r="DA77" s="50"/>
      <c r="DB77" s="50"/>
      <c r="DC77" s="50"/>
      <c r="DD77" s="50"/>
      <c r="DE77" s="50"/>
      <c r="DF77" s="50"/>
      <c r="DG77" s="50"/>
      <c r="DH77" s="50"/>
      <c r="DI77" s="50"/>
      <c r="DJ77" s="50"/>
      <c r="DK77" s="50"/>
      <c r="DL77" s="50"/>
      <c r="DM77" s="50"/>
      <c r="DN77" s="50"/>
      <c r="DO77" s="50"/>
      <c r="DP77" s="50"/>
      <c r="DQ77" s="50"/>
      <c r="DR77" s="50"/>
      <c r="DS77" s="50"/>
      <c r="DT77" s="50"/>
      <c r="DU77" s="50"/>
      <c r="DV77" s="50"/>
      <c r="DW77" s="50"/>
      <c r="DX77" s="50"/>
      <c r="DY77" s="50"/>
      <c r="DZ77" s="50"/>
      <c r="EA77" s="50"/>
      <c r="EB77" s="50"/>
      <c r="EC77" s="50"/>
      <c r="ED77" s="50"/>
      <c r="EE77" s="50"/>
      <c r="EF77" s="50"/>
      <c r="EG77" s="50"/>
      <c r="EH77" s="50"/>
      <c r="EI77" s="50"/>
      <c r="EJ77" s="50"/>
      <c r="EK77" s="50"/>
      <c r="EL77" s="50"/>
      <c r="EM77" s="50"/>
      <c r="EN77" s="50"/>
      <c r="EO77" s="50"/>
      <c r="EP77" s="50"/>
      <c r="EQ77" s="50"/>
      <c r="ER77" s="50"/>
      <c r="ES77" s="50"/>
      <c r="ET77" s="50"/>
      <c r="EU77" s="50"/>
      <c r="EV77" s="50"/>
      <c r="EW77" s="50"/>
      <c r="EX77" s="50"/>
      <c r="EY77" s="50"/>
      <c r="EZ77" s="50"/>
      <c r="FA77" s="50"/>
      <c r="FB77" s="50"/>
      <c r="FC77" s="50"/>
      <c r="FD77" s="50"/>
      <c r="FE77" s="50"/>
      <c r="FF77" s="50"/>
      <c r="FG77" s="50"/>
      <c r="FH77" s="50"/>
      <c r="FI77" s="50"/>
      <c r="FJ77" s="50"/>
      <c r="FK77" s="50"/>
      <c r="FL77" s="50"/>
      <c r="FM77" s="50"/>
      <c r="FN77" s="50"/>
      <c r="FO77" s="50"/>
      <c r="FP77" s="50"/>
      <c r="FQ77" s="50"/>
      <c r="FR77" s="50"/>
      <c r="FS77" s="50"/>
      <c r="FT77" s="50"/>
      <c r="FU77" s="50"/>
      <c r="FV77" s="50"/>
      <c r="FW77" s="50"/>
      <c r="FX77" s="50"/>
      <c r="FY77" s="50"/>
      <c r="FZ77" s="50"/>
      <c r="GA77" s="50"/>
      <c r="GB77" s="50"/>
      <c r="GC77" s="50"/>
      <c r="GD77" s="50"/>
      <c r="GE77" s="50"/>
      <c r="GF77" s="50"/>
      <c r="GG77" s="50"/>
      <c r="GH77" s="50"/>
      <c r="GI77" s="50"/>
      <c r="GJ77" s="50"/>
      <c r="GK77" s="50"/>
      <c r="GL77" s="50"/>
      <c r="GM77" s="50"/>
      <c r="GN77" s="50"/>
      <c r="GO77" s="50"/>
      <c r="GP77" s="50"/>
      <c r="GQ77" s="50"/>
      <c r="GR77" s="50"/>
      <c r="GS77" s="50"/>
      <c r="GT77" s="50"/>
      <c r="GU77" s="50"/>
      <c r="GV77" s="50"/>
      <c r="GW77" s="50"/>
      <c r="GX77" s="50"/>
      <c r="GY77" s="50"/>
      <c r="GZ77" s="50"/>
      <c r="HA77" s="50"/>
    </row>
    <row r="78" s="51" customFormat="1" spans="1:209">
      <c r="A78" s="50"/>
      <c r="B78" s="50"/>
      <c r="C78" s="50"/>
      <c r="D78" s="50"/>
      <c r="E78" s="50"/>
      <c r="F78" s="50"/>
      <c r="G78" s="50"/>
      <c r="H78" s="60" t="s">
        <v>100</v>
      </c>
      <c r="I78" s="60" t="s">
        <v>325</v>
      </c>
      <c r="J78" s="59">
        <v>10429</v>
      </c>
      <c r="K78" s="59">
        <v>55150</v>
      </c>
      <c r="L78" s="59">
        <v>345116</v>
      </c>
      <c r="M78" s="59">
        <v>20967</v>
      </c>
      <c r="N78" s="59">
        <v>431662</v>
      </c>
      <c r="O78" s="63">
        <v>513139</v>
      </c>
      <c r="P78" s="63">
        <f t="shared" si="2"/>
        <v>81477</v>
      </c>
      <c r="Q78" s="50">
        <v>1</v>
      </c>
      <c r="R78" s="50">
        <v>1</v>
      </c>
      <c r="S78" s="69" t="s">
        <v>100</v>
      </c>
      <c r="T78" s="50"/>
      <c r="U78" s="71" t="s">
        <v>319</v>
      </c>
      <c r="V78" s="50">
        <v>1</v>
      </c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  <c r="DA78" s="50"/>
      <c r="DB78" s="50"/>
      <c r="DC78" s="50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0"/>
      <c r="DT78" s="50"/>
      <c r="DU78" s="50"/>
      <c r="DV78" s="50"/>
      <c r="DW78" s="50"/>
      <c r="DX78" s="50"/>
      <c r="DY78" s="50"/>
      <c r="DZ78" s="50"/>
      <c r="EA78" s="50"/>
      <c r="EB78" s="50"/>
      <c r="EC78" s="50"/>
      <c r="ED78" s="50"/>
      <c r="EE78" s="50"/>
      <c r="EF78" s="50"/>
      <c r="EG78" s="50"/>
      <c r="EH78" s="50"/>
      <c r="EI78" s="50"/>
      <c r="EJ78" s="50"/>
      <c r="EK78" s="50"/>
      <c r="EL78" s="50"/>
      <c r="EM78" s="50"/>
      <c r="EN78" s="50"/>
      <c r="EO78" s="50"/>
      <c r="EP78" s="50"/>
      <c r="EQ78" s="50"/>
      <c r="ER78" s="50"/>
      <c r="ES78" s="50"/>
      <c r="ET78" s="50"/>
      <c r="EU78" s="50"/>
      <c r="EV78" s="50"/>
      <c r="EW78" s="50"/>
      <c r="EX78" s="50"/>
      <c r="EY78" s="50"/>
      <c r="EZ78" s="50"/>
      <c r="FA78" s="50"/>
      <c r="FB78" s="50"/>
      <c r="FC78" s="50"/>
      <c r="FD78" s="50"/>
      <c r="FE78" s="50"/>
      <c r="FF78" s="50"/>
      <c r="FG78" s="50"/>
      <c r="FH78" s="50"/>
      <c r="FI78" s="50"/>
      <c r="FJ78" s="50"/>
      <c r="FK78" s="50"/>
      <c r="FL78" s="50"/>
      <c r="FM78" s="50"/>
      <c r="FN78" s="50"/>
      <c r="FO78" s="50"/>
      <c r="FP78" s="50"/>
      <c r="FQ78" s="50"/>
      <c r="FR78" s="50"/>
      <c r="FS78" s="50"/>
      <c r="FT78" s="50"/>
      <c r="FU78" s="50"/>
      <c r="FV78" s="50"/>
      <c r="FW78" s="50"/>
      <c r="FX78" s="50"/>
      <c r="FY78" s="50"/>
      <c r="FZ78" s="50"/>
      <c r="GA78" s="50"/>
      <c r="GB78" s="50"/>
      <c r="GC78" s="50"/>
      <c r="GD78" s="50"/>
      <c r="GE78" s="50"/>
      <c r="GF78" s="50"/>
      <c r="GG78" s="50"/>
      <c r="GH78" s="50"/>
      <c r="GI78" s="50"/>
      <c r="GJ78" s="50"/>
      <c r="GK78" s="50"/>
      <c r="GL78" s="50"/>
      <c r="GM78" s="50"/>
      <c r="GN78" s="50"/>
      <c r="GO78" s="50"/>
      <c r="GP78" s="50"/>
      <c r="GQ78" s="50"/>
      <c r="GR78" s="50"/>
      <c r="GS78" s="50"/>
      <c r="GT78" s="50"/>
      <c r="GU78" s="50"/>
      <c r="GV78" s="50"/>
      <c r="GW78" s="50"/>
      <c r="GX78" s="50"/>
      <c r="GY78" s="50"/>
      <c r="GZ78" s="50"/>
      <c r="HA78" s="50"/>
    </row>
    <row r="79" s="51" customFormat="1" spans="1:209">
      <c r="A79" s="50"/>
      <c r="B79" s="50"/>
      <c r="C79" s="50"/>
      <c r="D79" s="50"/>
      <c r="E79" s="50"/>
      <c r="F79" s="50"/>
      <c r="G79" s="50"/>
      <c r="H79" s="60" t="s">
        <v>100</v>
      </c>
      <c r="I79" s="60" t="s">
        <v>327</v>
      </c>
      <c r="J79" s="59">
        <v>3063</v>
      </c>
      <c r="K79" s="59">
        <v>13974</v>
      </c>
      <c r="L79" s="59">
        <v>96302</v>
      </c>
      <c r="M79" s="59">
        <v>2716</v>
      </c>
      <c r="N79" s="59">
        <v>116055</v>
      </c>
      <c r="O79" s="63">
        <v>125560</v>
      </c>
      <c r="P79" s="63">
        <f t="shared" si="2"/>
        <v>9505</v>
      </c>
      <c r="Q79" s="50">
        <v>1</v>
      </c>
      <c r="R79" s="50">
        <v>1</v>
      </c>
      <c r="S79" s="69" t="s">
        <v>100</v>
      </c>
      <c r="T79" s="50"/>
      <c r="U79" s="71" t="s">
        <v>320</v>
      </c>
      <c r="V79" s="50">
        <v>1</v>
      </c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  <c r="DA79" s="50"/>
      <c r="DB79" s="50"/>
      <c r="DC79" s="50"/>
      <c r="DD79" s="50"/>
      <c r="DE79" s="50"/>
      <c r="DF79" s="50"/>
      <c r="DG79" s="50"/>
      <c r="DH79" s="50"/>
      <c r="DI79" s="50"/>
      <c r="DJ79" s="50"/>
      <c r="DK79" s="50"/>
      <c r="DL79" s="50"/>
      <c r="DM79" s="50"/>
      <c r="DN79" s="50"/>
      <c r="DO79" s="50"/>
      <c r="DP79" s="50"/>
      <c r="DQ79" s="50"/>
      <c r="DR79" s="50"/>
      <c r="DS79" s="50"/>
      <c r="DT79" s="50"/>
      <c r="DU79" s="50"/>
      <c r="DV79" s="50"/>
      <c r="DW79" s="50"/>
      <c r="DX79" s="50"/>
      <c r="DY79" s="50"/>
      <c r="DZ79" s="50"/>
      <c r="EA79" s="50"/>
      <c r="EB79" s="50"/>
      <c r="EC79" s="50"/>
      <c r="ED79" s="50"/>
      <c r="EE79" s="50"/>
      <c r="EF79" s="50"/>
      <c r="EG79" s="50"/>
      <c r="EH79" s="50"/>
      <c r="EI79" s="50"/>
      <c r="EJ79" s="50"/>
      <c r="EK79" s="50"/>
      <c r="EL79" s="50"/>
      <c r="EM79" s="50"/>
      <c r="EN79" s="50"/>
      <c r="EO79" s="50"/>
      <c r="EP79" s="50"/>
      <c r="EQ79" s="50"/>
      <c r="ER79" s="50"/>
      <c r="ES79" s="50"/>
      <c r="ET79" s="50"/>
      <c r="EU79" s="50"/>
      <c r="EV79" s="50"/>
      <c r="EW79" s="50"/>
      <c r="EX79" s="50"/>
      <c r="EY79" s="50"/>
      <c r="EZ79" s="50"/>
      <c r="FA79" s="50"/>
      <c r="FB79" s="50"/>
      <c r="FC79" s="50"/>
      <c r="FD79" s="50"/>
      <c r="FE79" s="50"/>
      <c r="FF79" s="50"/>
      <c r="FG79" s="50"/>
      <c r="FH79" s="50"/>
      <c r="FI79" s="50"/>
      <c r="FJ79" s="50"/>
      <c r="FK79" s="50"/>
      <c r="FL79" s="50"/>
      <c r="FM79" s="50"/>
      <c r="FN79" s="50"/>
      <c r="FO79" s="50"/>
      <c r="FP79" s="50"/>
      <c r="FQ79" s="50"/>
      <c r="FR79" s="50"/>
      <c r="FS79" s="50"/>
      <c r="FT79" s="50"/>
      <c r="FU79" s="50"/>
      <c r="FV79" s="50"/>
      <c r="FW79" s="50"/>
      <c r="FX79" s="50"/>
      <c r="FY79" s="50"/>
      <c r="FZ79" s="50"/>
      <c r="GA79" s="50"/>
      <c r="GB79" s="50"/>
      <c r="GC79" s="50"/>
      <c r="GD79" s="50"/>
      <c r="GE79" s="50"/>
      <c r="GF79" s="50"/>
      <c r="GG79" s="50"/>
      <c r="GH79" s="50"/>
      <c r="GI79" s="50"/>
      <c r="GJ79" s="50"/>
      <c r="GK79" s="50"/>
      <c r="GL79" s="50"/>
      <c r="GM79" s="50"/>
      <c r="GN79" s="50"/>
      <c r="GO79" s="50"/>
      <c r="GP79" s="50"/>
      <c r="GQ79" s="50"/>
      <c r="GR79" s="50"/>
      <c r="GS79" s="50"/>
      <c r="GT79" s="50"/>
      <c r="GU79" s="50"/>
      <c r="GV79" s="50"/>
      <c r="GW79" s="50"/>
      <c r="GX79" s="50"/>
      <c r="GY79" s="50"/>
      <c r="GZ79" s="50"/>
      <c r="HA79" s="50"/>
    </row>
    <row r="80" s="51" customFormat="1" spans="1:209">
      <c r="A80" s="50"/>
      <c r="B80" s="50"/>
      <c r="C80" s="50"/>
      <c r="D80" s="50"/>
      <c r="E80" s="50"/>
      <c r="F80" s="50"/>
      <c r="G80" s="50"/>
      <c r="H80" s="60" t="s">
        <v>100</v>
      </c>
      <c r="I80" s="60" t="s">
        <v>329</v>
      </c>
      <c r="J80" s="59">
        <v>3041</v>
      </c>
      <c r="K80" s="59">
        <v>11999</v>
      </c>
      <c r="L80" s="59">
        <v>98874</v>
      </c>
      <c r="M80" s="59">
        <v>2651</v>
      </c>
      <c r="N80" s="59">
        <v>116565</v>
      </c>
      <c r="O80" s="63">
        <v>122978</v>
      </c>
      <c r="P80" s="63">
        <f t="shared" si="2"/>
        <v>6413</v>
      </c>
      <c r="Q80" s="50">
        <v>1</v>
      </c>
      <c r="R80" s="50">
        <v>1</v>
      </c>
      <c r="S80" s="69" t="s">
        <v>100</v>
      </c>
      <c r="T80" s="50"/>
      <c r="U80" s="71" t="s">
        <v>324</v>
      </c>
      <c r="V80" s="50">
        <v>1</v>
      </c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0"/>
      <c r="CY80" s="50"/>
      <c r="CZ80" s="50"/>
      <c r="DA80" s="50"/>
      <c r="DB80" s="50"/>
      <c r="DC80" s="50"/>
      <c r="DD80" s="50"/>
      <c r="DE80" s="50"/>
      <c r="DF80" s="50"/>
      <c r="DG80" s="50"/>
      <c r="DH80" s="50"/>
      <c r="DI80" s="50"/>
      <c r="DJ80" s="50"/>
      <c r="DK80" s="50"/>
      <c r="DL80" s="50"/>
      <c r="DM80" s="50"/>
      <c r="DN80" s="50"/>
      <c r="DO80" s="50"/>
      <c r="DP80" s="50"/>
      <c r="DQ80" s="50"/>
      <c r="DR80" s="50"/>
      <c r="DS80" s="50"/>
      <c r="DT80" s="50"/>
      <c r="DU80" s="50"/>
      <c r="DV80" s="50"/>
      <c r="DW80" s="50"/>
      <c r="DX80" s="50"/>
      <c r="DY80" s="50"/>
      <c r="DZ80" s="50"/>
      <c r="EA80" s="50"/>
      <c r="EB80" s="50"/>
      <c r="EC80" s="50"/>
      <c r="ED80" s="50"/>
      <c r="EE80" s="50"/>
      <c r="EF80" s="50"/>
      <c r="EG80" s="50"/>
      <c r="EH80" s="50"/>
      <c r="EI80" s="50"/>
      <c r="EJ80" s="50"/>
      <c r="EK80" s="50"/>
      <c r="EL80" s="50"/>
      <c r="EM80" s="50"/>
      <c r="EN80" s="50"/>
      <c r="EO80" s="50"/>
      <c r="EP80" s="50"/>
      <c r="EQ80" s="50"/>
      <c r="ER80" s="50"/>
      <c r="ES80" s="50"/>
      <c r="ET80" s="50"/>
      <c r="EU80" s="50"/>
      <c r="EV80" s="50"/>
      <c r="EW80" s="50"/>
      <c r="EX80" s="50"/>
      <c r="EY80" s="50"/>
      <c r="EZ80" s="50"/>
      <c r="FA80" s="50"/>
      <c r="FB80" s="50"/>
      <c r="FC80" s="50"/>
      <c r="FD80" s="50"/>
      <c r="FE80" s="50"/>
      <c r="FF80" s="50"/>
      <c r="FG80" s="50"/>
      <c r="FH80" s="50"/>
      <c r="FI80" s="50"/>
      <c r="FJ80" s="50"/>
      <c r="FK80" s="50"/>
      <c r="FL80" s="50"/>
      <c r="FM80" s="50"/>
      <c r="FN80" s="50"/>
      <c r="FO80" s="50"/>
      <c r="FP80" s="50"/>
      <c r="FQ80" s="50"/>
      <c r="FR80" s="50"/>
      <c r="FS80" s="50"/>
      <c r="FT80" s="50"/>
      <c r="FU80" s="50"/>
      <c r="FV80" s="50"/>
      <c r="FW80" s="50"/>
      <c r="FX80" s="50"/>
      <c r="FY80" s="50"/>
      <c r="FZ80" s="50"/>
      <c r="GA80" s="50"/>
      <c r="GB80" s="50"/>
      <c r="GC80" s="50"/>
      <c r="GD80" s="50"/>
      <c r="GE80" s="50"/>
      <c r="GF80" s="50"/>
      <c r="GG80" s="50"/>
      <c r="GH80" s="50"/>
      <c r="GI80" s="50"/>
      <c r="GJ80" s="50"/>
      <c r="GK80" s="50"/>
      <c r="GL80" s="50"/>
      <c r="GM80" s="50"/>
      <c r="GN80" s="50"/>
      <c r="GO80" s="50"/>
      <c r="GP80" s="50"/>
      <c r="GQ80" s="50"/>
      <c r="GR80" s="50"/>
      <c r="GS80" s="50"/>
      <c r="GT80" s="50"/>
      <c r="GU80" s="50"/>
      <c r="GV80" s="50"/>
      <c r="GW80" s="50"/>
      <c r="GX80" s="50"/>
      <c r="GY80" s="50"/>
      <c r="GZ80" s="50"/>
      <c r="HA80" s="50"/>
    </row>
    <row r="81" s="51" customFormat="1" spans="1:209">
      <c r="A81" s="50"/>
      <c r="B81" s="50"/>
      <c r="C81" s="50"/>
      <c r="D81" s="50"/>
      <c r="E81" s="50"/>
      <c r="F81" s="50"/>
      <c r="G81" s="50"/>
      <c r="H81" s="60" t="s">
        <v>100</v>
      </c>
      <c r="I81" s="60" t="s">
        <v>331</v>
      </c>
      <c r="J81" s="59">
        <v>9294</v>
      </c>
      <c r="K81" s="59">
        <v>47677</v>
      </c>
      <c r="L81" s="59">
        <v>350634</v>
      </c>
      <c r="M81" s="59">
        <v>2592</v>
      </c>
      <c r="N81" s="59">
        <v>410197</v>
      </c>
      <c r="O81" s="63">
        <v>485149</v>
      </c>
      <c r="P81" s="63">
        <f t="shared" si="2"/>
        <v>74952</v>
      </c>
      <c r="Q81" s="50">
        <v>1</v>
      </c>
      <c r="R81" s="50">
        <v>1</v>
      </c>
      <c r="S81" s="69" t="s">
        <v>100</v>
      </c>
      <c r="T81" s="50"/>
      <c r="U81" s="72" t="s">
        <v>326</v>
      </c>
      <c r="V81" s="50">
        <v>1</v>
      </c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  <c r="DA81" s="50"/>
      <c r="DB81" s="50"/>
      <c r="DC81" s="50"/>
      <c r="DD81" s="50"/>
      <c r="DE81" s="50"/>
      <c r="DF81" s="50"/>
      <c r="DG81" s="50"/>
      <c r="DH81" s="50"/>
      <c r="DI81" s="50"/>
      <c r="DJ81" s="50"/>
      <c r="DK81" s="50"/>
      <c r="DL81" s="50"/>
      <c r="DM81" s="50"/>
      <c r="DN81" s="50"/>
      <c r="DO81" s="50"/>
      <c r="DP81" s="50"/>
      <c r="DQ81" s="50"/>
      <c r="DR81" s="50"/>
      <c r="DS81" s="50"/>
      <c r="DT81" s="50"/>
      <c r="DU81" s="50"/>
      <c r="DV81" s="50"/>
      <c r="DW81" s="50"/>
      <c r="DX81" s="50"/>
      <c r="DY81" s="50"/>
      <c r="DZ81" s="50"/>
      <c r="EA81" s="50"/>
      <c r="EB81" s="50"/>
      <c r="EC81" s="50"/>
      <c r="ED81" s="50"/>
      <c r="EE81" s="50"/>
      <c r="EF81" s="50"/>
      <c r="EG81" s="50"/>
      <c r="EH81" s="50"/>
      <c r="EI81" s="50"/>
      <c r="EJ81" s="50"/>
      <c r="EK81" s="50"/>
      <c r="EL81" s="50"/>
      <c r="EM81" s="50"/>
      <c r="EN81" s="50"/>
      <c r="EO81" s="50"/>
      <c r="EP81" s="50"/>
      <c r="EQ81" s="50"/>
      <c r="ER81" s="50"/>
      <c r="ES81" s="50"/>
      <c r="ET81" s="50"/>
      <c r="EU81" s="50"/>
      <c r="EV81" s="50"/>
      <c r="EW81" s="50"/>
      <c r="EX81" s="50"/>
      <c r="EY81" s="50"/>
      <c r="EZ81" s="50"/>
      <c r="FA81" s="50"/>
      <c r="FB81" s="50"/>
      <c r="FC81" s="50"/>
      <c r="FD81" s="50"/>
      <c r="FE81" s="50"/>
      <c r="FF81" s="50"/>
      <c r="FG81" s="50"/>
      <c r="FH81" s="50"/>
      <c r="FI81" s="50"/>
      <c r="FJ81" s="50"/>
      <c r="FK81" s="50"/>
      <c r="FL81" s="50"/>
      <c r="FM81" s="50"/>
      <c r="FN81" s="50"/>
      <c r="FO81" s="50"/>
      <c r="FP81" s="50"/>
      <c r="FQ81" s="50"/>
      <c r="FR81" s="50"/>
      <c r="FS81" s="50"/>
      <c r="FT81" s="50"/>
      <c r="FU81" s="50"/>
      <c r="FV81" s="50"/>
      <c r="FW81" s="50"/>
      <c r="FX81" s="50"/>
      <c r="FY81" s="50"/>
      <c r="FZ81" s="50"/>
      <c r="GA81" s="50"/>
      <c r="GB81" s="50"/>
      <c r="GC81" s="50"/>
      <c r="GD81" s="50"/>
      <c r="GE81" s="50"/>
      <c r="GF81" s="50"/>
      <c r="GG81" s="50"/>
      <c r="GH81" s="50"/>
      <c r="GI81" s="50"/>
      <c r="GJ81" s="50"/>
      <c r="GK81" s="50"/>
      <c r="GL81" s="50"/>
      <c r="GM81" s="50"/>
      <c r="GN81" s="50"/>
      <c r="GO81" s="50"/>
      <c r="GP81" s="50"/>
      <c r="GQ81" s="50"/>
      <c r="GR81" s="50"/>
      <c r="GS81" s="50"/>
      <c r="GT81" s="50"/>
      <c r="GU81" s="50"/>
      <c r="GV81" s="50"/>
      <c r="GW81" s="50"/>
      <c r="GX81" s="50"/>
      <c r="GY81" s="50"/>
      <c r="GZ81" s="50"/>
      <c r="HA81" s="50"/>
    </row>
    <row r="82" s="51" customFormat="1" ht="14.25" spans="1:209">
      <c r="A82" s="50"/>
      <c r="B82" s="50"/>
      <c r="C82" s="50"/>
      <c r="D82" s="50"/>
      <c r="E82" s="50"/>
      <c r="F82" s="50"/>
      <c r="G82" s="50"/>
      <c r="H82" s="73" t="s">
        <v>83</v>
      </c>
      <c r="I82" s="73" t="s">
        <v>350</v>
      </c>
      <c r="J82" s="59">
        <v>22898</v>
      </c>
      <c r="K82" s="59">
        <v>111260</v>
      </c>
      <c r="L82" s="59">
        <v>463716</v>
      </c>
      <c r="M82" s="59">
        <v>39145</v>
      </c>
      <c r="N82" s="67">
        <v>637019</v>
      </c>
      <c r="O82" s="66">
        <v>650822</v>
      </c>
      <c r="P82" s="66">
        <f t="shared" si="2"/>
        <v>13803</v>
      </c>
      <c r="Q82" s="50"/>
      <c r="R82" s="50">
        <v>1</v>
      </c>
      <c r="S82" s="69" t="s">
        <v>83</v>
      </c>
      <c r="T82" s="50"/>
      <c r="U82" s="23" t="s">
        <v>132</v>
      </c>
      <c r="V82" s="50">
        <v>1</v>
      </c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0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  <c r="EM82" s="50"/>
      <c r="EN82" s="50"/>
      <c r="EO82" s="50"/>
      <c r="EP82" s="50"/>
      <c r="EQ82" s="50"/>
      <c r="ER82" s="50"/>
      <c r="ES82" s="50"/>
      <c r="ET82" s="50"/>
      <c r="EU82" s="50"/>
      <c r="EV82" s="50"/>
      <c r="EW82" s="50"/>
      <c r="EX82" s="50"/>
      <c r="EY82" s="50"/>
      <c r="EZ82" s="50"/>
      <c r="FA82" s="50"/>
      <c r="FB82" s="50"/>
      <c r="FC82" s="50"/>
      <c r="FD82" s="50"/>
      <c r="FE82" s="50"/>
      <c r="FF82" s="50"/>
      <c r="FG82" s="50"/>
      <c r="FH82" s="50"/>
      <c r="FI82" s="50"/>
      <c r="FJ82" s="50"/>
      <c r="FK82" s="50"/>
      <c r="FL82" s="50"/>
      <c r="FM82" s="50"/>
      <c r="FN82" s="50"/>
      <c r="FO82" s="50"/>
      <c r="FP82" s="50"/>
      <c r="FQ82" s="50"/>
      <c r="FR82" s="50"/>
      <c r="FS82" s="50"/>
      <c r="FT82" s="50"/>
      <c r="FU82" s="50"/>
      <c r="FV82" s="50"/>
      <c r="FW82" s="50"/>
      <c r="FX82" s="50"/>
      <c r="FY82" s="50"/>
      <c r="FZ82" s="50"/>
      <c r="GA82" s="50"/>
      <c r="GB82" s="50"/>
      <c r="GC82" s="50"/>
      <c r="GD82" s="50"/>
      <c r="GE82" s="50"/>
      <c r="GF82" s="50"/>
      <c r="GG82" s="50"/>
      <c r="GH82" s="50"/>
      <c r="GI82" s="50"/>
      <c r="GJ82" s="50"/>
      <c r="GK82" s="50"/>
      <c r="GL82" s="50"/>
      <c r="GM82" s="50"/>
      <c r="GN82" s="50"/>
      <c r="GO82" s="50"/>
      <c r="GP82" s="50"/>
      <c r="GQ82" s="50"/>
      <c r="GR82" s="50"/>
      <c r="GS82" s="50"/>
      <c r="GT82" s="50"/>
      <c r="GU82" s="50"/>
      <c r="GV82" s="50"/>
      <c r="GW82" s="50"/>
      <c r="GX82" s="50"/>
      <c r="GY82" s="50"/>
      <c r="GZ82" s="50"/>
      <c r="HA82" s="50"/>
    </row>
    <row r="83" s="51" customFormat="1" spans="1:209">
      <c r="A83" s="50"/>
      <c r="B83" s="50"/>
      <c r="C83" s="50"/>
      <c r="D83" s="50"/>
      <c r="E83" s="50"/>
      <c r="F83" s="50"/>
      <c r="G83" s="50"/>
      <c r="H83" s="73" t="s">
        <v>83</v>
      </c>
      <c r="I83" s="73" t="s">
        <v>351</v>
      </c>
      <c r="J83" s="59">
        <v>23485</v>
      </c>
      <c r="K83" s="59">
        <v>114330</v>
      </c>
      <c r="L83" s="59">
        <v>640279</v>
      </c>
      <c r="M83" s="59">
        <v>40049</v>
      </c>
      <c r="N83" s="67">
        <v>818143</v>
      </c>
      <c r="O83" s="66">
        <v>893200</v>
      </c>
      <c r="P83" s="66">
        <f t="shared" si="2"/>
        <v>75057</v>
      </c>
      <c r="Q83" s="50"/>
      <c r="R83" s="50">
        <v>1</v>
      </c>
      <c r="S83" s="69" t="s">
        <v>83</v>
      </c>
      <c r="T83" s="50"/>
      <c r="U83" s="71" t="s">
        <v>58</v>
      </c>
      <c r="V83" s="50">
        <v>1</v>
      </c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  <c r="DA83" s="50"/>
      <c r="DB83" s="50"/>
      <c r="DC83" s="50"/>
      <c r="DD83" s="50"/>
      <c r="DE83" s="50"/>
      <c r="DF83" s="50"/>
      <c r="DG83" s="50"/>
      <c r="DH83" s="50"/>
      <c r="DI83" s="50"/>
      <c r="DJ83" s="50"/>
      <c r="DK83" s="50"/>
      <c r="DL83" s="50"/>
      <c r="DM83" s="50"/>
      <c r="DN83" s="50"/>
      <c r="DO83" s="50"/>
      <c r="DP83" s="50"/>
      <c r="DQ83" s="50"/>
      <c r="DR83" s="50"/>
      <c r="DS83" s="50"/>
      <c r="DT83" s="50"/>
      <c r="DU83" s="50"/>
      <c r="DV83" s="50"/>
      <c r="DW83" s="50"/>
      <c r="DX83" s="50"/>
      <c r="DY83" s="50"/>
      <c r="DZ83" s="50"/>
      <c r="EA83" s="50"/>
      <c r="EB83" s="50"/>
      <c r="EC83" s="50"/>
      <c r="ED83" s="50"/>
      <c r="EE83" s="50"/>
      <c r="EF83" s="50"/>
      <c r="EG83" s="50"/>
      <c r="EH83" s="50"/>
      <c r="EI83" s="50"/>
      <c r="EJ83" s="50"/>
      <c r="EK83" s="50"/>
      <c r="EL83" s="50"/>
      <c r="EM83" s="50"/>
      <c r="EN83" s="50"/>
      <c r="EO83" s="50"/>
      <c r="EP83" s="50"/>
      <c r="EQ83" s="50"/>
      <c r="ER83" s="50"/>
      <c r="ES83" s="50"/>
      <c r="ET83" s="50"/>
      <c r="EU83" s="50"/>
      <c r="EV83" s="50"/>
      <c r="EW83" s="50"/>
      <c r="EX83" s="50"/>
      <c r="EY83" s="50"/>
      <c r="EZ83" s="50"/>
      <c r="FA83" s="50"/>
      <c r="FB83" s="50"/>
      <c r="FC83" s="50"/>
      <c r="FD83" s="50"/>
      <c r="FE83" s="50"/>
      <c r="FF83" s="50"/>
      <c r="FG83" s="50"/>
      <c r="FH83" s="50"/>
      <c r="FI83" s="50"/>
      <c r="FJ83" s="50"/>
      <c r="FK83" s="50"/>
      <c r="FL83" s="50"/>
      <c r="FM83" s="50"/>
      <c r="FN83" s="50"/>
      <c r="FO83" s="50"/>
      <c r="FP83" s="50"/>
      <c r="FQ83" s="50"/>
      <c r="FR83" s="50"/>
      <c r="FS83" s="50"/>
      <c r="FT83" s="50"/>
      <c r="FU83" s="50"/>
      <c r="FV83" s="50"/>
      <c r="FW83" s="50"/>
      <c r="FX83" s="50"/>
      <c r="FY83" s="50"/>
      <c r="FZ83" s="50"/>
      <c r="GA83" s="50"/>
      <c r="GB83" s="50"/>
      <c r="GC83" s="50"/>
      <c r="GD83" s="50"/>
      <c r="GE83" s="50"/>
      <c r="GF83" s="50"/>
      <c r="GG83" s="50"/>
      <c r="GH83" s="50"/>
      <c r="GI83" s="50"/>
      <c r="GJ83" s="50"/>
      <c r="GK83" s="50"/>
      <c r="GL83" s="50"/>
      <c r="GM83" s="50"/>
      <c r="GN83" s="50"/>
      <c r="GO83" s="50"/>
      <c r="GP83" s="50"/>
      <c r="GQ83" s="50"/>
      <c r="GR83" s="50"/>
      <c r="GS83" s="50"/>
      <c r="GT83" s="50"/>
      <c r="GU83" s="50"/>
      <c r="GV83" s="50"/>
      <c r="GW83" s="50"/>
      <c r="GX83" s="50"/>
      <c r="GY83" s="50"/>
      <c r="GZ83" s="50"/>
      <c r="HA83" s="50"/>
    </row>
    <row r="84" s="51" customFormat="1" spans="1:209">
      <c r="A84" s="50"/>
      <c r="B84" s="50"/>
      <c r="C84" s="50"/>
      <c r="D84" s="50"/>
      <c r="E84" s="50"/>
      <c r="F84" s="50"/>
      <c r="G84" s="50"/>
      <c r="H84" s="73" t="s">
        <v>83</v>
      </c>
      <c r="I84" s="73" t="s">
        <v>294</v>
      </c>
      <c r="J84" s="59">
        <v>16979</v>
      </c>
      <c r="K84" s="59">
        <v>86235</v>
      </c>
      <c r="L84" s="59">
        <v>488537</v>
      </c>
      <c r="M84" s="59">
        <v>88591</v>
      </c>
      <c r="N84" s="59">
        <v>680342</v>
      </c>
      <c r="O84" s="63">
        <v>766406</v>
      </c>
      <c r="P84" s="63">
        <f t="shared" si="2"/>
        <v>86064</v>
      </c>
      <c r="Q84" s="50">
        <v>1</v>
      </c>
      <c r="R84" s="50">
        <v>1</v>
      </c>
      <c r="S84" s="69" t="s">
        <v>83</v>
      </c>
      <c r="T84" s="50"/>
      <c r="U84" s="71" t="s">
        <v>352</v>
      </c>
      <c r="V84" s="50">
        <v>1</v>
      </c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/>
      <c r="CZ84" s="50"/>
      <c r="DA84" s="50"/>
      <c r="DB84" s="50"/>
      <c r="DC84" s="50"/>
      <c r="DD84" s="50"/>
      <c r="DE84" s="50"/>
      <c r="DF84" s="50"/>
      <c r="DG84" s="50"/>
      <c r="DH84" s="50"/>
      <c r="DI84" s="50"/>
      <c r="DJ84" s="50"/>
      <c r="DK84" s="50"/>
      <c r="DL84" s="50"/>
      <c r="DM84" s="50"/>
      <c r="DN84" s="50"/>
      <c r="DO84" s="50"/>
      <c r="DP84" s="50"/>
      <c r="DQ84" s="50"/>
      <c r="DR84" s="50"/>
      <c r="DS84" s="50"/>
      <c r="DT84" s="50"/>
      <c r="DU84" s="50"/>
      <c r="DV84" s="50"/>
      <c r="DW84" s="50"/>
      <c r="DX84" s="50"/>
      <c r="DY84" s="50"/>
      <c r="DZ84" s="50"/>
      <c r="EA84" s="50"/>
      <c r="EB84" s="50"/>
      <c r="EC84" s="50"/>
      <c r="ED84" s="50"/>
      <c r="EE84" s="50"/>
      <c r="EF84" s="50"/>
      <c r="EG84" s="50"/>
      <c r="EH84" s="50"/>
      <c r="EI84" s="50"/>
      <c r="EJ84" s="50"/>
      <c r="EK84" s="50"/>
      <c r="EL84" s="50"/>
      <c r="EM84" s="50"/>
      <c r="EN84" s="50"/>
      <c r="EO84" s="50"/>
      <c r="EP84" s="50"/>
      <c r="EQ84" s="50"/>
      <c r="ER84" s="50"/>
      <c r="ES84" s="50"/>
      <c r="ET84" s="50"/>
      <c r="EU84" s="50"/>
      <c r="EV84" s="50"/>
      <c r="EW84" s="50"/>
      <c r="EX84" s="50"/>
      <c r="EY84" s="50"/>
      <c r="EZ84" s="50"/>
      <c r="FA84" s="50"/>
      <c r="FB84" s="50"/>
      <c r="FC84" s="50"/>
      <c r="FD84" s="50"/>
      <c r="FE84" s="50"/>
      <c r="FF84" s="50"/>
      <c r="FG84" s="50"/>
      <c r="FH84" s="50"/>
      <c r="FI84" s="50"/>
      <c r="FJ84" s="50"/>
      <c r="FK84" s="50"/>
      <c r="FL84" s="50"/>
      <c r="FM84" s="50"/>
      <c r="FN84" s="50"/>
      <c r="FO84" s="50"/>
      <c r="FP84" s="50"/>
      <c r="FQ84" s="50"/>
      <c r="FR84" s="50"/>
      <c r="FS84" s="50"/>
      <c r="FT84" s="50"/>
      <c r="FU84" s="50"/>
      <c r="FV84" s="50"/>
      <c r="FW84" s="50"/>
      <c r="FX84" s="50"/>
      <c r="FY84" s="50"/>
      <c r="FZ84" s="50"/>
      <c r="GA84" s="50"/>
      <c r="GB84" s="50"/>
      <c r="GC84" s="50"/>
      <c r="GD84" s="50"/>
      <c r="GE84" s="50"/>
      <c r="GF84" s="50"/>
      <c r="GG84" s="50"/>
      <c r="GH84" s="50"/>
      <c r="GI84" s="50"/>
      <c r="GJ84" s="50"/>
      <c r="GK84" s="50"/>
      <c r="GL84" s="50"/>
      <c r="GM84" s="50"/>
      <c r="GN84" s="50"/>
      <c r="GO84" s="50"/>
      <c r="GP84" s="50"/>
      <c r="GQ84" s="50"/>
      <c r="GR84" s="50"/>
      <c r="GS84" s="50"/>
      <c r="GT84" s="50"/>
      <c r="GU84" s="50"/>
      <c r="GV84" s="50"/>
      <c r="GW84" s="50"/>
      <c r="GX84" s="50"/>
      <c r="GY84" s="50"/>
      <c r="GZ84" s="50"/>
      <c r="HA84" s="50"/>
    </row>
    <row r="85" s="51" customFormat="1" ht="14.25" spans="1:209">
      <c r="A85" s="50"/>
      <c r="B85" s="50"/>
      <c r="C85" s="50"/>
      <c r="D85" s="50"/>
      <c r="E85" s="50"/>
      <c r="F85" s="50"/>
      <c r="G85" s="50"/>
      <c r="H85" s="73" t="s">
        <v>83</v>
      </c>
      <c r="I85" s="73" t="s">
        <v>296</v>
      </c>
      <c r="J85" s="59">
        <v>17777</v>
      </c>
      <c r="K85" s="59">
        <v>89332</v>
      </c>
      <c r="L85" s="59">
        <v>475107</v>
      </c>
      <c r="M85" s="59">
        <v>43594</v>
      </c>
      <c r="N85" s="59">
        <v>625810</v>
      </c>
      <c r="O85" s="63">
        <v>717342</v>
      </c>
      <c r="P85" s="63">
        <f t="shared" si="2"/>
        <v>91532</v>
      </c>
      <c r="Q85" s="50">
        <v>1</v>
      </c>
      <c r="R85" s="50">
        <v>1</v>
      </c>
      <c r="S85" s="69" t="s">
        <v>83</v>
      </c>
      <c r="T85" s="50"/>
      <c r="U85" s="23" t="s">
        <v>135</v>
      </c>
      <c r="V85" s="50">
        <v>1</v>
      </c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/>
      <c r="CZ85" s="50"/>
      <c r="DA85" s="50"/>
      <c r="DB85" s="50"/>
      <c r="DC85" s="50"/>
      <c r="DD85" s="50"/>
      <c r="DE85" s="50"/>
      <c r="DF85" s="50"/>
      <c r="DG85" s="50"/>
      <c r="DH85" s="50"/>
      <c r="DI85" s="50"/>
      <c r="DJ85" s="50"/>
      <c r="DK85" s="50"/>
      <c r="DL85" s="50"/>
      <c r="DM85" s="50"/>
      <c r="DN85" s="50"/>
      <c r="DO85" s="50"/>
      <c r="DP85" s="50"/>
      <c r="DQ85" s="50"/>
      <c r="DR85" s="50"/>
      <c r="DS85" s="50"/>
      <c r="DT85" s="50"/>
      <c r="DU85" s="50"/>
      <c r="DV85" s="50"/>
      <c r="DW85" s="50"/>
      <c r="DX85" s="50"/>
      <c r="DY85" s="50"/>
      <c r="DZ85" s="50"/>
      <c r="EA85" s="50"/>
      <c r="EB85" s="50"/>
      <c r="EC85" s="50"/>
      <c r="ED85" s="50"/>
      <c r="EE85" s="50"/>
      <c r="EF85" s="50"/>
      <c r="EG85" s="50"/>
      <c r="EH85" s="50"/>
      <c r="EI85" s="50"/>
      <c r="EJ85" s="50"/>
      <c r="EK85" s="50"/>
      <c r="EL85" s="50"/>
      <c r="EM85" s="50"/>
      <c r="EN85" s="50"/>
      <c r="EO85" s="50"/>
      <c r="EP85" s="50"/>
      <c r="EQ85" s="50"/>
      <c r="ER85" s="50"/>
      <c r="ES85" s="50"/>
      <c r="ET85" s="50"/>
      <c r="EU85" s="50"/>
      <c r="EV85" s="50"/>
      <c r="EW85" s="50"/>
      <c r="EX85" s="50"/>
      <c r="EY85" s="50"/>
      <c r="EZ85" s="50"/>
      <c r="FA85" s="50"/>
      <c r="FB85" s="50"/>
      <c r="FC85" s="50"/>
      <c r="FD85" s="50"/>
      <c r="FE85" s="50"/>
      <c r="FF85" s="50"/>
      <c r="FG85" s="50"/>
      <c r="FH85" s="50"/>
      <c r="FI85" s="50"/>
      <c r="FJ85" s="50"/>
      <c r="FK85" s="50"/>
      <c r="FL85" s="50"/>
      <c r="FM85" s="50"/>
      <c r="FN85" s="50"/>
      <c r="FO85" s="50"/>
      <c r="FP85" s="50"/>
      <c r="FQ85" s="50"/>
      <c r="FR85" s="50"/>
      <c r="FS85" s="50"/>
      <c r="FT85" s="50"/>
      <c r="FU85" s="50"/>
      <c r="FV85" s="50"/>
      <c r="FW85" s="50"/>
      <c r="FX85" s="50"/>
      <c r="FY85" s="50"/>
      <c r="FZ85" s="50"/>
      <c r="GA85" s="50"/>
      <c r="GB85" s="50"/>
      <c r="GC85" s="50"/>
      <c r="GD85" s="50"/>
      <c r="GE85" s="50"/>
      <c r="GF85" s="50"/>
      <c r="GG85" s="50"/>
      <c r="GH85" s="50"/>
      <c r="GI85" s="50"/>
      <c r="GJ85" s="50"/>
      <c r="GK85" s="50"/>
      <c r="GL85" s="50"/>
      <c r="GM85" s="50"/>
      <c r="GN85" s="50"/>
      <c r="GO85" s="50"/>
      <c r="GP85" s="50"/>
      <c r="GQ85" s="50"/>
      <c r="GR85" s="50"/>
      <c r="GS85" s="50"/>
      <c r="GT85" s="50"/>
      <c r="GU85" s="50"/>
      <c r="GV85" s="50"/>
      <c r="GW85" s="50"/>
      <c r="GX85" s="50"/>
      <c r="GY85" s="50"/>
      <c r="GZ85" s="50"/>
      <c r="HA85" s="50"/>
    </row>
    <row r="86" s="51" customFormat="1" spans="1:209">
      <c r="A86" s="50"/>
      <c r="B86" s="50"/>
      <c r="C86" s="50"/>
      <c r="D86" s="50"/>
      <c r="E86" s="50"/>
      <c r="F86" s="50"/>
      <c r="G86" s="50"/>
      <c r="H86" s="73" t="s">
        <v>83</v>
      </c>
      <c r="I86" s="73" t="s">
        <v>298</v>
      </c>
      <c r="J86" s="59">
        <v>8987</v>
      </c>
      <c r="K86" s="59">
        <v>51171</v>
      </c>
      <c r="L86" s="59">
        <v>384774</v>
      </c>
      <c r="M86" s="59">
        <v>49430</v>
      </c>
      <c r="N86" s="59">
        <v>494362</v>
      </c>
      <c r="O86" s="63">
        <v>574175</v>
      </c>
      <c r="P86" s="63">
        <f t="shared" si="2"/>
        <v>79813</v>
      </c>
      <c r="Q86" s="50">
        <v>1</v>
      </c>
      <c r="R86" s="50">
        <v>1</v>
      </c>
      <c r="S86" s="69" t="s">
        <v>83</v>
      </c>
      <c r="T86" s="50"/>
      <c r="U86" s="71" t="s">
        <v>58</v>
      </c>
      <c r="V86" s="50">
        <v>1</v>
      </c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 s="50"/>
      <c r="DG86" s="50"/>
      <c r="DH86" s="50"/>
      <c r="DI86" s="50"/>
      <c r="DJ86" s="50"/>
      <c r="DK86" s="50"/>
      <c r="DL86" s="50"/>
      <c r="DM86" s="50"/>
      <c r="DN86" s="50"/>
      <c r="DO86" s="50"/>
      <c r="DP86" s="50"/>
      <c r="DQ86" s="50"/>
      <c r="DR86" s="50"/>
      <c r="DS86" s="50"/>
      <c r="DT86" s="50"/>
      <c r="DU86" s="50"/>
      <c r="DV86" s="50"/>
      <c r="DW86" s="50"/>
      <c r="DX86" s="50"/>
      <c r="DY86" s="50"/>
      <c r="DZ86" s="50"/>
      <c r="EA86" s="50"/>
      <c r="EB86" s="50"/>
      <c r="EC86" s="50"/>
      <c r="ED86" s="50"/>
      <c r="EE86" s="50"/>
      <c r="EF86" s="50"/>
      <c r="EG86" s="50"/>
      <c r="EH86" s="50"/>
      <c r="EI86" s="50"/>
      <c r="EJ86" s="50"/>
      <c r="EK86" s="50"/>
      <c r="EL86" s="50"/>
      <c r="EM86" s="50"/>
      <c r="EN86" s="50"/>
      <c r="EO86" s="50"/>
      <c r="EP86" s="50"/>
      <c r="EQ86" s="50"/>
      <c r="ER86" s="50"/>
      <c r="ES86" s="50"/>
      <c r="ET86" s="50"/>
      <c r="EU86" s="50"/>
      <c r="EV86" s="50"/>
      <c r="EW86" s="50"/>
      <c r="EX86" s="50"/>
      <c r="EY86" s="50"/>
      <c r="EZ86" s="50"/>
      <c r="FA86" s="50"/>
      <c r="FB86" s="50"/>
      <c r="FC86" s="50"/>
      <c r="FD86" s="50"/>
      <c r="FE86" s="50"/>
      <c r="FF86" s="50"/>
      <c r="FG86" s="50"/>
      <c r="FH86" s="50"/>
      <c r="FI86" s="50"/>
      <c r="FJ86" s="50"/>
      <c r="FK86" s="50"/>
      <c r="FL86" s="50"/>
      <c r="FM86" s="50"/>
      <c r="FN86" s="50"/>
      <c r="FO86" s="50"/>
      <c r="FP86" s="50"/>
      <c r="FQ86" s="50"/>
      <c r="FR86" s="50"/>
      <c r="FS86" s="50"/>
      <c r="FT86" s="50"/>
      <c r="FU86" s="50"/>
      <c r="FV86" s="50"/>
      <c r="FW86" s="50"/>
      <c r="FX86" s="50"/>
      <c r="FY86" s="50"/>
      <c r="FZ86" s="50"/>
      <c r="GA86" s="50"/>
      <c r="GB86" s="50"/>
      <c r="GC86" s="50"/>
      <c r="GD86" s="50"/>
      <c r="GE86" s="50"/>
      <c r="GF86" s="50"/>
      <c r="GG86" s="50"/>
      <c r="GH86" s="50"/>
      <c r="GI86" s="50"/>
      <c r="GJ86" s="50"/>
      <c r="GK86" s="50"/>
      <c r="GL86" s="50"/>
      <c r="GM86" s="50"/>
      <c r="GN86" s="50"/>
      <c r="GO86" s="50"/>
      <c r="GP86" s="50"/>
      <c r="GQ86" s="50"/>
      <c r="GR86" s="50"/>
      <c r="GS86" s="50"/>
      <c r="GT86" s="50"/>
      <c r="GU86" s="50"/>
      <c r="GV86" s="50"/>
      <c r="GW86" s="50"/>
      <c r="GX86" s="50"/>
      <c r="GY86" s="50"/>
      <c r="GZ86" s="50"/>
      <c r="HA86" s="50"/>
    </row>
    <row r="87" s="51" customFormat="1" spans="1:209">
      <c r="A87" s="50"/>
      <c r="B87" s="50"/>
      <c r="C87" s="50"/>
      <c r="D87" s="50"/>
      <c r="E87" s="50"/>
      <c r="F87" s="50"/>
      <c r="G87" s="50"/>
      <c r="H87" s="60" t="s">
        <v>135</v>
      </c>
      <c r="I87" s="60" t="s">
        <v>353</v>
      </c>
      <c r="J87" s="59">
        <v>26131</v>
      </c>
      <c r="K87" s="59">
        <v>125540</v>
      </c>
      <c r="L87" s="59">
        <v>526816</v>
      </c>
      <c r="M87" s="59">
        <v>6466</v>
      </c>
      <c r="N87" s="59">
        <v>684953</v>
      </c>
      <c r="O87" s="63">
        <v>626061</v>
      </c>
      <c r="P87" s="63">
        <f t="shared" si="2"/>
        <v>-58892</v>
      </c>
      <c r="Q87" s="50"/>
      <c r="R87" s="50">
        <v>1</v>
      </c>
      <c r="S87" s="69" t="s">
        <v>135</v>
      </c>
      <c r="T87" s="50"/>
      <c r="U87" s="71" t="s">
        <v>354</v>
      </c>
      <c r="V87" s="50">
        <v>1</v>
      </c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  <c r="DW87" s="50"/>
      <c r="DX87" s="50"/>
      <c r="DY87" s="50"/>
      <c r="DZ87" s="50"/>
      <c r="EA87" s="50"/>
      <c r="EB87" s="50"/>
      <c r="EC87" s="50"/>
      <c r="ED87" s="50"/>
      <c r="EE87" s="50"/>
      <c r="EF87" s="50"/>
      <c r="EG87" s="50"/>
      <c r="EH87" s="50"/>
      <c r="EI87" s="50"/>
      <c r="EJ87" s="50"/>
      <c r="EK87" s="50"/>
      <c r="EL87" s="50"/>
      <c r="EM87" s="50"/>
      <c r="EN87" s="50"/>
      <c r="EO87" s="50"/>
      <c r="EP87" s="50"/>
      <c r="EQ87" s="50"/>
      <c r="ER87" s="50"/>
      <c r="ES87" s="50"/>
      <c r="ET87" s="50"/>
      <c r="EU87" s="50"/>
      <c r="EV87" s="50"/>
      <c r="EW87" s="50"/>
      <c r="EX87" s="50"/>
      <c r="EY87" s="50"/>
      <c r="EZ87" s="50"/>
      <c r="FA87" s="50"/>
      <c r="FB87" s="50"/>
      <c r="FC87" s="50"/>
      <c r="FD87" s="50"/>
      <c r="FE87" s="50"/>
      <c r="FF87" s="50"/>
      <c r="FG87" s="50"/>
      <c r="FH87" s="50"/>
      <c r="FI87" s="50"/>
      <c r="FJ87" s="50"/>
      <c r="FK87" s="50"/>
      <c r="FL87" s="50"/>
      <c r="FM87" s="50"/>
      <c r="FN87" s="50"/>
      <c r="FO87" s="50"/>
      <c r="FP87" s="50"/>
      <c r="FQ87" s="50"/>
      <c r="FR87" s="50"/>
      <c r="FS87" s="50"/>
      <c r="FT87" s="50"/>
      <c r="FU87" s="50"/>
      <c r="FV87" s="50"/>
      <c r="FW87" s="50"/>
      <c r="FX87" s="50"/>
      <c r="FY87" s="50"/>
      <c r="FZ87" s="50"/>
      <c r="GA87" s="50"/>
      <c r="GB87" s="50"/>
      <c r="GC87" s="50"/>
      <c r="GD87" s="50"/>
      <c r="GE87" s="50"/>
      <c r="GF87" s="50"/>
      <c r="GG87" s="50"/>
      <c r="GH87" s="50"/>
      <c r="GI87" s="50"/>
      <c r="GJ87" s="50"/>
      <c r="GK87" s="50"/>
      <c r="GL87" s="50"/>
      <c r="GM87" s="50"/>
      <c r="GN87" s="50"/>
      <c r="GO87" s="50"/>
      <c r="GP87" s="50"/>
      <c r="GQ87" s="50"/>
      <c r="GR87" s="50"/>
      <c r="GS87" s="50"/>
      <c r="GT87" s="50"/>
      <c r="GU87" s="50"/>
      <c r="GV87" s="50"/>
      <c r="GW87" s="50"/>
      <c r="GX87" s="50"/>
      <c r="GY87" s="50"/>
      <c r="GZ87" s="50"/>
      <c r="HA87" s="50"/>
    </row>
    <row r="88" s="51" customFormat="1" spans="1:209">
      <c r="A88" s="50"/>
      <c r="B88" s="50"/>
      <c r="C88" s="50"/>
      <c r="D88" s="50"/>
      <c r="E88" s="50"/>
      <c r="F88" s="50"/>
      <c r="G88" s="50"/>
      <c r="H88" s="60" t="s">
        <v>135</v>
      </c>
      <c r="I88" s="60" t="s">
        <v>355</v>
      </c>
      <c r="J88" s="59">
        <v>21219</v>
      </c>
      <c r="K88" s="59">
        <v>89294</v>
      </c>
      <c r="L88" s="59">
        <v>492903</v>
      </c>
      <c r="M88" s="59">
        <v>10110</v>
      </c>
      <c r="N88" s="59">
        <v>613526</v>
      </c>
      <c r="O88" s="63">
        <v>601991</v>
      </c>
      <c r="P88" s="63">
        <f t="shared" si="2"/>
        <v>-11535</v>
      </c>
      <c r="Q88" s="50"/>
      <c r="R88" s="50">
        <v>1</v>
      </c>
      <c r="S88" s="69" t="s">
        <v>135</v>
      </c>
      <c r="T88" s="50"/>
      <c r="U88" s="71" t="s">
        <v>356</v>
      </c>
      <c r="V88" s="50">
        <v>1</v>
      </c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  <c r="CV88" s="50"/>
      <c r="CW88" s="50"/>
      <c r="CX88" s="50"/>
      <c r="CY88" s="50"/>
      <c r="CZ88" s="50"/>
      <c r="DA88" s="50"/>
      <c r="DB88" s="50"/>
      <c r="DC88" s="50"/>
      <c r="DD88" s="50"/>
      <c r="DE88" s="50"/>
      <c r="DF88" s="50"/>
      <c r="DG88" s="50"/>
      <c r="DH88" s="50"/>
      <c r="DI88" s="50"/>
      <c r="DJ88" s="50"/>
      <c r="DK88" s="50"/>
      <c r="DL88" s="50"/>
      <c r="DM88" s="50"/>
      <c r="DN88" s="50"/>
      <c r="DO88" s="50"/>
      <c r="DP88" s="50"/>
      <c r="DQ88" s="50"/>
      <c r="DR88" s="50"/>
      <c r="DS88" s="50"/>
      <c r="DT88" s="50"/>
      <c r="DU88" s="50"/>
      <c r="DV88" s="50"/>
      <c r="DW88" s="50"/>
      <c r="DX88" s="50"/>
      <c r="DY88" s="50"/>
      <c r="DZ88" s="50"/>
      <c r="EA88" s="50"/>
      <c r="EB88" s="50"/>
      <c r="EC88" s="50"/>
      <c r="ED88" s="50"/>
      <c r="EE88" s="50"/>
      <c r="EF88" s="50"/>
      <c r="EG88" s="50"/>
      <c r="EH88" s="50"/>
      <c r="EI88" s="50"/>
      <c r="EJ88" s="50"/>
      <c r="EK88" s="50"/>
      <c r="EL88" s="50"/>
      <c r="EM88" s="50"/>
      <c r="EN88" s="50"/>
      <c r="EO88" s="50"/>
      <c r="EP88" s="50"/>
      <c r="EQ88" s="50"/>
      <c r="ER88" s="50"/>
      <c r="ES88" s="50"/>
      <c r="ET88" s="50"/>
      <c r="EU88" s="50"/>
      <c r="EV88" s="50"/>
      <c r="EW88" s="50"/>
      <c r="EX88" s="50"/>
      <c r="EY88" s="50"/>
      <c r="EZ88" s="50"/>
      <c r="FA88" s="50"/>
      <c r="FB88" s="50"/>
      <c r="FC88" s="50"/>
      <c r="FD88" s="50"/>
      <c r="FE88" s="50"/>
      <c r="FF88" s="50"/>
      <c r="FG88" s="50"/>
      <c r="FH88" s="50"/>
      <c r="FI88" s="50"/>
      <c r="FJ88" s="50"/>
      <c r="FK88" s="50"/>
      <c r="FL88" s="50"/>
      <c r="FM88" s="50"/>
      <c r="FN88" s="50"/>
      <c r="FO88" s="50"/>
      <c r="FP88" s="50"/>
      <c r="FQ88" s="50"/>
      <c r="FR88" s="50"/>
      <c r="FS88" s="50"/>
      <c r="FT88" s="50"/>
      <c r="FU88" s="50"/>
      <c r="FV88" s="50"/>
      <c r="FW88" s="50"/>
      <c r="FX88" s="50"/>
      <c r="FY88" s="50"/>
      <c r="FZ88" s="50"/>
      <c r="GA88" s="50"/>
      <c r="GB88" s="50"/>
      <c r="GC88" s="50"/>
      <c r="GD88" s="50"/>
      <c r="GE88" s="50"/>
      <c r="GF88" s="50"/>
      <c r="GG88" s="50"/>
      <c r="GH88" s="50"/>
      <c r="GI88" s="50"/>
      <c r="GJ88" s="50"/>
      <c r="GK88" s="50"/>
      <c r="GL88" s="50"/>
      <c r="GM88" s="50"/>
      <c r="GN88" s="50"/>
      <c r="GO88" s="50"/>
      <c r="GP88" s="50"/>
      <c r="GQ88" s="50"/>
      <c r="GR88" s="50"/>
      <c r="GS88" s="50"/>
      <c r="GT88" s="50"/>
      <c r="GU88" s="50"/>
      <c r="GV88" s="50"/>
      <c r="GW88" s="50"/>
      <c r="GX88" s="50"/>
      <c r="GY88" s="50"/>
      <c r="GZ88" s="50"/>
      <c r="HA88" s="50"/>
    </row>
    <row r="89" s="51" customFormat="1" spans="1:209">
      <c r="A89" s="50"/>
      <c r="B89" s="50"/>
      <c r="C89" s="50"/>
      <c r="D89" s="50"/>
      <c r="E89" s="50"/>
      <c r="F89" s="50"/>
      <c r="G89" s="50"/>
      <c r="H89" s="60" t="s">
        <v>135</v>
      </c>
      <c r="I89" s="60" t="s">
        <v>354</v>
      </c>
      <c r="J89" s="59">
        <v>17870</v>
      </c>
      <c r="K89" s="59">
        <v>64611</v>
      </c>
      <c r="L89" s="59">
        <v>271084</v>
      </c>
      <c r="M89" s="59">
        <v>21149</v>
      </c>
      <c r="N89" s="59">
        <v>374714</v>
      </c>
      <c r="O89" s="63">
        <v>410328</v>
      </c>
      <c r="P89" s="63">
        <f t="shared" si="2"/>
        <v>35614</v>
      </c>
      <c r="Q89" s="50">
        <v>1</v>
      </c>
      <c r="R89" s="50">
        <v>1</v>
      </c>
      <c r="S89" s="69" t="s">
        <v>135</v>
      </c>
      <c r="T89" s="50"/>
      <c r="U89" s="71" t="s">
        <v>357</v>
      </c>
      <c r="V89" s="50">
        <v>1</v>
      </c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  <c r="CR89" s="50"/>
      <c r="CS89" s="50"/>
      <c r="CT89" s="50"/>
      <c r="CU89" s="50"/>
      <c r="CV89" s="50"/>
      <c r="CW89" s="50"/>
      <c r="CX89" s="50"/>
      <c r="CY89" s="50"/>
      <c r="CZ89" s="50"/>
      <c r="DA89" s="50"/>
      <c r="DB89" s="50"/>
      <c r="DC89" s="50"/>
      <c r="DD89" s="50"/>
      <c r="DE89" s="50"/>
      <c r="DF89" s="50"/>
      <c r="DG89" s="50"/>
      <c r="DH89" s="50"/>
      <c r="DI89" s="50"/>
      <c r="DJ89" s="50"/>
      <c r="DK89" s="50"/>
      <c r="DL89" s="50"/>
      <c r="DM89" s="50"/>
      <c r="DN89" s="50"/>
      <c r="DO89" s="50"/>
      <c r="DP89" s="50"/>
      <c r="DQ89" s="50"/>
      <c r="DR89" s="50"/>
      <c r="DS89" s="50"/>
      <c r="DT89" s="50"/>
      <c r="DU89" s="50"/>
      <c r="DV89" s="50"/>
      <c r="DW89" s="50"/>
      <c r="DX89" s="50"/>
      <c r="DY89" s="50"/>
      <c r="DZ89" s="50"/>
      <c r="EA89" s="50"/>
      <c r="EB89" s="50"/>
      <c r="EC89" s="50"/>
      <c r="ED89" s="50"/>
      <c r="EE89" s="50"/>
      <c r="EF89" s="50"/>
      <c r="EG89" s="50"/>
      <c r="EH89" s="50"/>
      <c r="EI89" s="50"/>
      <c r="EJ89" s="50"/>
      <c r="EK89" s="50"/>
      <c r="EL89" s="50"/>
      <c r="EM89" s="50"/>
      <c r="EN89" s="50"/>
      <c r="EO89" s="50"/>
      <c r="EP89" s="50"/>
      <c r="EQ89" s="50"/>
      <c r="ER89" s="50"/>
      <c r="ES89" s="50"/>
      <c r="ET89" s="50"/>
      <c r="EU89" s="50"/>
      <c r="EV89" s="50"/>
      <c r="EW89" s="50"/>
      <c r="EX89" s="50"/>
      <c r="EY89" s="50"/>
      <c r="EZ89" s="50"/>
      <c r="FA89" s="50"/>
      <c r="FB89" s="50"/>
      <c r="FC89" s="50"/>
      <c r="FD89" s="50"/>
      <c r="FE89" s="50"/>
      <c r="FF89" s="50"/>
      <c r="FG89" s="50"/>
      <c r="FH89" s="50"/>
      <c r="FI89" s="50"/>
      <c r="FJ89" s="50"/>
      <c r="FK89" s="50"/>
      <c r="FL89" s="50"/>
      <c r="FM89" s="50"/>
      <c r="FN89" s="50"/>
      <c r="FO89" s="50"/>
      <c r="FP89" s="50"/>
      <c r="FQ89" s="50"/>
      <c r="FR89" s="50"/>
      <c r="FS89" s="50"/>
      <c r="FT89" s="50"/>
      <c r="FU89" s="50"/>
      <c r="FV89" s="50"/>
      <c r="FW89" s="50"/>
      <c r="FX89" s="50"/>
      <c r="FY89" s="50"/>
      <c r="FZ89" s="50"/>
      <c r="GA89" s="50"/>
      <c r="GB89" s="50"/>
      <c r="GC89" s="50"/>
      <c r="GD89" s="50"/>
      <c r="GE89" s="50"/>
      <c r="GF89" s="50"/>
      <c r="GG89" s="50"/>
      <c r="GH89" s="50"/>
      <c r="GI89" s="50"/>
      <c r="GJ89" s="50"/>
      <c r="GK89" s="50"/>
      <c r="GL89" s="50"/>
      <c r="GM89" s="50"/>
      <c r="GN89" s="50"/>
      <c r="GO89" s="50"/>
      <c r="GP89" s="50"/>
      <c r="GQ89" s="50"/>
      <c r="GR89" s="50"/>
      <c r="GS89" s="50"/>
      <c r="GT89" s="50"/>
      <c r="GU89" s="50"/>
      <c r="GV89" s="50"/>
      <c r="GW89" s="50"/>
      <c r="GX89" s="50"/>
      <c r="GY89" s="50"/>
      <c r="GZ89" s="50"/>
      <c r="HA89" s="50"/>
    </row>
    <row r="90" s="51" customFormat="1" ht="14.25" spans="1:209">
      <c r="A90" s="50"/>
      <c r="B90" s="50"/>
      <c r="C90" s="50"/>
      <c r="D90" s="50"/>
      <c r="E90" s="50"/>
      <c r="F90" s="50"/>
      <c r="G90" s="50"/>
      <c r="H90" s="60" t="s">
        <v>135</v>
      </c>
      <c r="I90" s="60" t="s">
        <v>356</v>
      </c>
      <c r="J90" s="59">
        <v>26304</v>
      </c>
      <c r="K90" s="59">
        <v>125633</v>
      </c>
      <c r="L90" s="59">
        <v>395706</v>
      </c>
      <c r="M90" s="59">
        <v>3991</v>
      </c>
      <c r="N90" s="59">
        <v>551634</v>
      </c>
      <c r="O90" s="63">
        <v>574020</v>
      </c>
      <c r="P90" s="63">
        <f t="shared" si="2"/>
        <v>22386</v>
      </c>
      <c r="Q90" s="50">
        <v>1</v>
      </c>
      <c r="R90" s="50">
        <v>1</v>
      </c>
      <c r="S90" s="69" t="s">
        <v>135</v>
      </c>
      <c r="T90" s="50"/>
      <c r="U90" s="23" t="s">
        <v>140</v>
      </c>
      <c r="V90" s="50">
        <v>1</v>
      </c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/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/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/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50"/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</row>
    <row r="91" s="51" customFormat="1" spans="1:209">
      <c r="A91" s="50"/>
      <c r="B91" s="50"/>
      <c r="C91" s="50"/>
      <c r="D91" s="50"/>
      <c r="E91" s="50"/>
      <c r="F91" s="50"/>
      <c r="G91" s="50"/>
      <c r="H91" s="60" t="s">
        <v>135</v>
      </c>
      <c r="I91" s="60" t="s">
        <v>357</v>
      </c>
      <c r="J91" s="59">
        <v>61571</v>
      </c>
      <c r="K91" s="59">
        <v>263922</v>
      </c>
      <c r="L91" s="59">
        <v>877000</v>
      </c>
      <c r="M91" s="59">
        <v>12776</v>
      </c>
      <c r="N91" s="59">
        <v>1215269</v>
      </c>
      <c r="O91" s="63">
        <v>1205460</v>
      </c>
      <c r="P91" s="63">
        <f t="shared" si="2"/>
        <v>-9809</v>
      </c>
      <c r="Q91" s="50">
        <v>1</v>
      </c>
      <c r="R91" s="50">
        <v>1</v>
      </c>
      <c r="S91" s="69" t="s">
        <v>135</v>
      </c>
      <c r="T91" s="50"/>
      <c r="U91" s="71" t="s">
        <v>58</v>
      </c>
      <c r="V91" s="50">
        <v>1</v>
      </c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/>
      <c r="CZ91" s="50"/>
      <c r="DA91" s="50"/>
      <c r="DB91" s="50"/>
      <c r="DC91" s="50"/>
      <c r="DD91" s="50"/>
      <c r="DE91" s="50"/>
      <c r="DF91" s="50"/>
      <c r="DG91" s="50"/>
      <c r="DH91" s="50"/>
      <c r="DI91" s="50"/>
      <c r="DJ91" s="50"/>
      <c r="DK91" s="50"/>
      <c r="DL91" s="50"/>
      <c r="DM91" s="50"/>
      <c r="DN91" s="50"/>
      <c r="DO91" s="50"/>
      <c r="DP91" s="50"/>
      <c r="DQ91" s="50"/>
      <c r="DR91" s="50"/>
      <c r="DS91" s="50"/>
      <c r="DT91" s="50"/>
      <c r="DU91" s="50"/>
      <c r="DV91" s="50"/>
      <c r="DW91" s="50"/>
      <c r="DX91" s="50"/>
      <c r="DY91" s="50"/>
      <c r="DZ91" s="50"/>
      <c r="EA91" s="50"/>
      <c r="EB91" s="50"/>
      <c r="EC91" s="50"/>
      <c r="ED91" s="50"/>
      <c r="EE91" s="50"/>
      <c r="EF91" s="50"/>
      <c r="EG91" s="50"/>
      <c r="EH91" s="50"/>
      <c r="EI91" s="50"/>
      <c r="EJ91" s="50"/>
      <c r="EK91" s="50"/>
      <c r="EL91" s="50"/>
      <c r="EM91" s="50"/>
      <c r="EN91" s="50"/>
      <c r="EO91" s="50"/>
      <c r="EP91" s="50"/>
      <c r="EQ91" s="50"/>
      <c r="ER91" s="50"/>
      <c r="ES91" s="50"/>
      <c r="ET91" s="50"/>
      <c r="EU91" s="50"/>
      <c r="EV91" s="50"/>
      <c r="EW91" s="50"/>
      <c r="EX91" s="50"/>
      <c r="EY91" s="50"/>
      <c r="EZ91" s="50"/>
      <c r="FA91" s="50"/>
      <c r="FB91" s="50"/>
      <c r="FC91" s="50"/>
      <c r="FD91" s="50"/>
      <c r="FE91" s="50"/>
      <c r="FF91" s="50"/>
      <c r="FG91" s="50"/>
      <c r="FH91" s="50"/>
      <c r="FI91" s="50"/>
      <c r="FJ91" s="50"/>
      <c r="FK91" s="50"/>
      <c r="FL91" s="50"/>
      <c r="FM91" s="50"/>
      <c r="FN91" s="50"/>
      <c r="FO91" s="50"/>
      <c r="FP91" s="50"/>
      <c r="FQ91" s="50"/>
      <c r="FR91" s="50"/>
      <c r="FS91" s="50"/>
      <c r="FT91" s="50"/>
      <c r="FU91" s="50"/>
      <c r="FV91" s="50"/>
      <c r="FW91" s="50"/>
      <c r="FX91" s="50"/>
      <c r="FY91" s="50"/>
      <c r="FZ91" s="50"/>
      <c r="GA91" s="50"/>
      <c r="GB91" s="50"/>
      <c r="GC91" s="50"/>
      <c r="GD91" s="50"/>
      <c r="GE91" s="50"/>
      <c r="GF91" s="50"/>
      <c r="GG91" s="50"/>
      <c r="GH91" s="50"/>
      <c r="GI91" s="50"/>
      <c r="GJ91" s="50"/>
      <c r="GK91" s="50"/>
      <c r="GL91" s="50"/>
      <c r="GM91" s="50"/>
      <c r="GN91" s="50"/>
      <c r="GO91" s="50"/>
      <c r="GP91" s="50"/>
      <c r="GQ91" s="50"/>
      <c r="GR91" s="50"/>
      <c r="GS91" s="50"/>
      <c r="GT91" s="50"/>
      <c r="GU91" s="50"/>
      <c r="GV91" s="50"/>
      <c r="GW91" s="50"/>
      <c r="GX91" s="50"/>
      <c r="GY91" s="50"/>
      <c r="GZ91" s="50"/>
      <c r="HA91" s="50"/>
    </row>
    <row r="92" s="51" customFormat="1" spans="1:209">
      <c r="A92" s="50"/>
      <c r="B92" s="50"/>
      <c r="C92" s="50"/>
      <c r="D92" s="50"/>
      <c r="E92" s="50"/>
      <c r="F92" s="50"/>
      <c r="G92" s="50"/>
      <c r="H92" s="73" t="s">
        <v>70</v>
      </c>
      <c r="I92" s="73" t="s">
        <v>358</v>
      </c>
      <c r="J92" s="59">
        <v>25121</v>
      </c>
      <c r="K92" s="59">
        <v>126648</v>
      </c>
      <c r="L92" s="59">
        <v>556455</v>
      </c>
      <c r="M92" s="59">
        <v>7913</v>
      </c>
      <c r="N92" s="59">
        <v>716137</v>
      </c>
      <c r="O92" s="63">
        <v>614730</v>
      </c>
      <c r="P92" s="63">
        <f t="shared" si="2"/>
        <v>-101407</v>
      </c>
      <c r="Q92" s="50"/>
      <c r="R92" s="50"/>
      <c r="S92" s="69" t="s">
        <v>70</v>
      </c>
      <c r="T92" s="50"/>
      <c r="U92" s="71" t="s">
        <v>335</v>
      </c>
      <c r="V92" s="50">
        <v>1</v>
      </c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/>
      <c r="CZ92" s="50"/>
      <c r="DA92" s="50"/>
      <c r="DB92" s="50"/>
      <c r="DC92" s="50"/>
      <c r="DD92" s="50"/>
      <c r="DE92" s="50"/>
      <c r="DF92" s="50"/>
      <c r="DG92" s="50"/>
      <c r="DH92" s="50"/>
      <c r="DI92" s="50"/>
      <c r="DJ92" s="50"/>
      <c r="DK92" s="50"/>
      <c r="DL92" s="50"/>
      <c r="DM92" s="50"/>
      <c r="DN92" s="50"/>
      <c r="DO92" s="50"/>
      <c r="DP92" s="50"/>
      <c r="DQ92" s="50"/>
      <c r="DR92" s="50"/>
      <c r="DS92" s="50"/>
      <c r="DT92" s="50"/>
      <c r="DU92" s="50"/>
      <c r="DV92" s="50"/>
      <c r="DW92" s="50"/>
      <c r="DX92" s="50"/>
      <c r="DY92" s="50"/>
      <c r="DZ92" s="50"/>
      <c r="EA92" s="50"/>
      <c r="EB92" s="50"/>
      <c r="EC92" s="50"/>
      <c r="ED92" s="50"/>
      <c r="EE92" s="50"/>
      <c r="EF92" s="50"/>
      <c r="EG92" s="50"/>
      <c r="EH92" s="50"/>
      <c r="EI92" s="50"/>
      <c r="EJ92" s="50"/>
      <c r="EK92" s="50"/>
      <c r="EL92" s="50"/>
      <c r="EM92" s="50"/>
      <c r="EN92" s="50"/>
      <c r="EO92" s="50"/>
      <c r="EP92" s="50"/>
      <c r="EQ92" s="50"/>
      <c r="ER92" s="50"/>
      <c r="ES92" s="50"/>
      <c r="ET92" s="50"/>
      <c r="EU92" s="50"/>
      <c r="EV92" s="50"/>
      <c r="EW92" s="50"/>
      <c r="EX92" s="50"/>
      <c r="EY92" s="50"/>
      <c r="EZ92" s="50"/>
      <c r="FA92" s="50"/>
      <c r="FB92" s="50"/>
      <c r="FC92" s="50"/>
      <c r="FD92" s="50"/>
      <c r="FE92" s="50"/>
      <c r="FF92" s="50"/>
      <c r="FG92" s="50"/>
      <c r="FH92" s="50"/>
      <c r="FI92" s="50"/>
      <c r="FJ92" s="50"/>
      <c r="FK92" s="50"/>
      <c r="FL92" s="50"/>
      <c r="FM92" s="50"/>
      <c r="FN92" s="50"/>
      <c r="FO92" s="50"/>
      <c r="FP92" s="50"/>
      <c r="FQ92" s="50"/>
      <c r="FR92" s="50"/>
      <c r="FS92" s="50"/>
      <c r="FT92" s="50"/>
      <c r="FU92" s="50"/>
      <c r="FV92" s="50"/>
      <c r="FW92" s="50"/>
      <c r="FX92" s="50"/>
      <c r="FY92" s="50"/>
      <c r="FZ92" s="50"/>
      <c r="GA92" s="50"/>
      <c r="GB92" s="50"/>
      <c r="GC92" s="50"/>
      <c r="GD92" s="50"/>
      <c r="GE92" s="50"/>
      <c r="GF92" s="50"/>
      <c r="GG92" s="50"/>
      <c r="GH92" s="50"/>
      <c r="GI92" s="50"/>
      <c r="GJ92" s="50"/>
      <c r="GK92" s="50"/>
      <c r="GL92" s="50"/>
      <c r="GM92" s="50"/>
      <c r="GN92" s="50"/>
      <c r="GO92" s="50"/>
      <c r="GP92" s="50"/>
      <c r="GQ92" s="50"/>
      <c r="GR92" s="50"/>
      <c r="GS92" s="50"/>
      <c r="GT92" s="50"/>
      <c r="GU92" s="50"/>
      <c r="GV92" s="50"/>
      <c r="GW92" s="50"/>
      <c r="GX92" s="50"/>
      <c r="GY92" s="50"/>
      <c r="GZ92" s="50"/>
      <c r="HA92" s="50"/>
    </row>
    <row r="93" s="51" customFormat="1" spans="1:209">
      <c r="A93" s="50"/>
      <c r="B93" s="50"/>
      <c r="C93" s="50"/>
      <c r="D93" s="50"/>
      <c r="E93" s="50"/>
      <c r="F93" s="50"/>
      <c r="G93" s="50"/>
      <c r="H93" s="73" t="s">
        <v>70</v>
      </c>
      <c r="I93" s="73" t="s">
        <v>359</v>
      </c>
      <c r="J93" s="59">
        <v>12211</v>
      </c>
      <c r="K93" s="59">
        <v>63515</v>
      </c>
      <c r="L93" s="59">
        <v>262496</v>
      </c>
      <c r="M93" s="59">
        <v>7506</v>
      </c>
      <c r="N93" s="59">
        <v>345728</v>
      </c>
      <c r="O93" s="63">
        <v>265532</v>
      </c>
      <c r="P93" s="63">
        <f t="shared" si="2"/>
        <v>-80196</v>
      </c>
      <c r="Q93" s="50"/>
      <c r="R93" s="50"/>
      <c r="S93" s="69" t="s">
        <v>70</v>
      </c>
      <c r="T93" s="50"/>
      <c r="U93" s="71" t="s">
        <v>336</v>
      </c>
      <c r="V93" s="50">
        <v>1</v>
      </c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  <c r="CR93" s="50"/>
      <c r="CS93" s="50"/>
      <c r="CT93" s="50"/>
      <c r="CU93" s="50"/>
      <c r="CV93" s="50"/>
      <c r="CW93" s="50"/>
      <c r="CX93" s="50"/>
      <c r="CY93" s="50"/>
      <c r="CZ93" s="50"/>
      <c r="DA93" s="50"/>
      <c r="DB93" s="50"/>
      <c r="DC93" s="50"/>
      <c r="DD93" s="50"/>
      <c r="DE93" s="50"/>
      <c r="DF93" s="50"/>
      <c r="DG93" s="50"/>
      <c r="DH93" s="50"/>
      <c r="DI93" s="50"/>
      <c r="DJ93" s="50"/>
      <c r="DK93" s="50"/>
      <c r="DL93" s="50"/>
      <c r="DM93" s="50"/>
      <c r="DN93" s="50"/>
      <c r="DO93" s="50"/>
      <c r="DP93" s="50"/>
      <c r="DQ93" s="50"/>
      <c r="DR93" s="50"/>
      <c r="DS93" s="50"/>
      <c r="DT93" s="50"/>
      <c r="DU93" s="50"/>
      <c r="DV93" s="50"/>
      <c r="DW93" s="50"/>
      <c r="DX93" s="50"/>
      <c r="DY93" s="50"/>
      <c r="DZ93" s="50"/>
      <c r="EA93" s="50"/>
      <c r="EB93" s="50"/>
      <c r="EC93" s="50"/>
      <c r="ED93" s="50"/>
      <c r="EE93" s="50"/>
      <c r="EF93" s="50"/>
      <c r="EG93" s="50"/>
      <c r="EH93" s="50"/>
      <c r="EI93" s="50"/>
      <c r="EJ93" s="50"/>
      <c r="EK93" s="50"/>
      <c r="EL93" s="50"/>
      <c r="EM93" s="50"/>
      <c r="EN93" s="50"/>
      <c r="EO93" s="50"/>
      <c r="EP93" s="50"/>
      <c r="EQ93" s="50"/>
      <c r="ER93" s="50"/>
      <c r="ES93" s="50"/>
      <c r="ET93" s="50"/>
      <c r="EU93" s="50"/>
      <c r="EV93" s="50"/>
      <c r="EW93" s="50"/>
      <c r="EX93" s="50"/>
      <c r="EY93" s="50"/>
      <c r="EZ93" s="50"/>
      <c r="FA93" s="50"/>
      <c r="FB93" s="50"/>
      <c r="FC93" s="50"/>
      <c r="FD93" s="50"/>
      <c r="FE93" s="50"/>
      <c r="FF93" s="50"/>
      <c r="FG93" s="50"/>
      <c r="FH93" s="50"/>
      <c r="FI93" s="50"/>
      <c r="FJ93" s="50"/>
      <c r="FK93" s="50"/>
      <c r="FL93" s="50"/>
      <c r="FM93" s="50"/>
      <c r="FN93" s="50"/>
      <c r="FO93" s="50"/>
      <c r="FP93" s="50"/>
      <c r="FQ93" s="50"/>
      <c r="FR93" s="50"/>
      <c r="FS93" s="50"/>
      <c r="FT93" s="50"/>
      <c r="FU93" s="50"/>
      <c r="FV93" s="50"/>
      <c r="FW93" s="50"/>
      <c r="FX93" s="50"/>
      <c r="FY93" s="50"/>
      <c r="FZ93" s="50"/>
      <c r="GA93" s="50"/>
      <c r="GB93" s="50"/>
      <c r="GC93" s="50"/>
      <c r="GD93" s="50"/>
      <c r="GE93" s="50"/>
      <c r="GF93" s="50"/>
      <c r="GG93" s="50"/>
      <c r="GH93" s="50"/>
      <c r="GI93" s="50"/>
      <c r="GJ93" s="50"/>
      <c r="GK93" s="50"/>
      <c r="GL93" s="50"/>
      <c r="GM93" s="50"/>
      <c r="GN93" s="50"/>
      <c r="GO93" s="50"/>
      <c r="GP93" s="50"/>
      <c r="GQ93" s="50"/>
      <c r="GR93" s="50"/>
      <c r="GS93" s="50"/>
      <c r="GT93" s="50"/>
      <c r="GU93" s="50"/>
      <c r="GV93" s="50"/>
      <c r="GW93" s="50"/>
      <c r="GX93" s="50"/>
      <c r="GY93" s="50"/>
      <c r="GZ93" s="50"/>
      <c r="HA93" s="50"/>
    </row>
    <row r="94" s="51" customFormat="1" spans="1:209">
      <c r="A94" s="50"/>
      <c r="B94" s="50"/>
      <c r="C94" s="50"/>
      <c r="D94" s="50"/>
      <c r="E94" s="50"/>
      <c r="F94" s="50"/>
      <c r="G94" s="50"/>
      <c r="H94" s="73" t="s">
        <v>70</v>
      </c>
      <c r="I94" s="73" t="s">
        <v>360</v>
      </c>
      <c r="J94" s="59">
        <v>21083</v>
      </c>
      <c r="K94" s="59">
        <v>124387</v>
      </c>
      <c r="L94" s="59">
        <v>563485</v>
      </c>
      <c r="M94" s="59">
        <v>10568</v>
      </c>
      <c r="N94" s="59">
        <v>719523</v>
      </c>
      <c r="O94" s="63">
        <v>650576</v>
      </c>
      <c r="P94" s="63">
        <f t="shared" si="2"/>
        <v>-68947</v>
      </c>
      <c r="Q94" s="50"/>
      <c r="R94" s="50"/>
      <c r="S94" s="69" t="s">
        <v>70</v>
      </c>
      <c r="T94" s="50"/>
      <c r="U94" s="71" t="s">
        <v>338</v>
      </c>
      <c r="V94" s="50">
        <v>1</v>
      </c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  <c r="CV94" s="50"/>
      <c r="CW94" s="50"/>
      <c r="CX94" s="50"/>
      <c r="CY94" s="50"/>
      <c r="CZ94" s="50"/>
      <c r="DA94" s="50"/>
      <c r="DB94" s="50"/>
      <c r="DC94" s="50"/>
      <c r="DD94" s="50"/>
      <c r="DE94" s="50"/>
      <c r="DF94" s="50"/>
      <c r="DG94" s="50"/>
      <c r="DH94" s="50"/>
      <c r="DI94" s="50"/>
      <c r="DJ94" s="50"/>
      <c r="DK94" s="50"/>
      <c r="DL94" s="50"/>
      <c r="DM94" s="50"/>
      <c r="DN94" s="50"/>
      <c r="DO94" s="50"/>
      <c r="DP94" s="50"/>
      <c r="DQ94" s="50"/>
      <c r="DR94" s="50"/>
      <c r="DS94" s="50"/>
      <c r="DT94" s="50"/>
      <c r="DU94" s="50"/>
      <c r="DV94" s="50"/>
      <c r="DW94" s="50"/>
      <c r="DX94" s="50"/>
      <c r="DY94" s="50"/>
      <c r="DZ94" s="50"/>
      <c r="EA94" s="50"/>
      <c r="EB94" s="50"/>
      <c r="EC94" s="50"/>
      <c r="ED94" s="50"/>
      <c r="EE94" s="50"/>
      <c r="EF94" s="50"/>
      <c r="EG94" s="50"/>
      <c r="EH94" s="50"/>
      <c r="EI94" s="50"/>
      <c r="EJ94" s="50"/>
      <c r="EK94" s="50"/>
      <c r="EL94" s="50"/>
      <c r="EM94" s="50"/>
      <c r="EN94" s="50"/>
      <c r="EO94" s="50"/>
      <c r="EP94" s="50"/>
      <c r="EQ94" s="50"/>
      <c r="ER94" s="50"/>
      <c r="ES94" s="50"/>
      <c r="ET94" s="50"/>
      <c r="EU94" s="50"/>
      <c r="EV94" s="50"/>
      <c r="EW94" s="50"/>
      <c r="EX94" s="50"/>
      <c r="EY94" s="50"/>
      <c r="EZ94" s="50"/>
      <c r="FA94" s="50"/>
      <c r="FB94" s="50"/>
      <c r="FC94" s="50"/>
      <c r="FD94" s="50"/>
      <c r="FE94" s="50"/>
      <c r="FF94" s="50"/>
      <c r="FG94" s="50"/>
      <c r="FH94" s="50"/>
      <c r="FI94" s="50"/>
      <c r="FJ94" s="50"/>
      <c r="FK94" s="50"/>
      <c r="FL94" s="50"/>
      <c r="FM94" s="50"/>
      <c r="FN94" s="50"/>
      <c r="FO94" s="50"/>
      <c r="FP94" s="50"/>
      <c r="FQ94" s="50"/>
      <c r="FR94" s="50"/>
      <c r="FS94" s="50"/>
      <c r="FT94" s="50"/>
      <c r="FU94" s="50"/>
      <c r="FV94" s="50"/>
      <c r="FW94" s="50"/>
      <c r="FX94" s="50"/>
      <c r="FY94" s="50"/>
      <c r="FZ94" s="50"/>
      <c r="GA94" s="50"/>
      <c r="GB94" s="50"/>
      <c r="GC94" s="50"/>
      <c r="GD94" s="50"/>
      <c r="GE94" s="50"/>
      <c r="GF94" s="50"/>
      <c r="GG94" s="50"/>
      <c r="GH94" s="50"/>
      <c r="GI94" s="50"/>
      <c r="GJ94" s="50"/>
      <c r="GK94" s="50"/>
      <c r="GL94" s="50"/>
      <c r="GM94" s="50"/>
      <c r="GN94" s="50"/>
      <c r="GO94" s="50"/>
      <c r="GP94" s="50"/>
      <c r="GQ94" s="50"/>
      <c r="GR94" s="50"/>
      <c r="GS94" s="50"/>
      <c r="GT94" s="50"/>
      <c r="GU94" s="50"/>
      <c r="GV94" s="50"/>
      <c r="GW94" s="50"/>
      <c r="GX94" s="50"/>
      <c r="GY94" s="50"/>
      <c r="GZ94" s="50"/>
      <c r="HA94" s="50"/>
    </row>
    <row r="95" s="51" customFormat="1" spans="1:209">
      <c r="A95" s="50"/>
      <c r="B95" s="50"/>
      <c r="C95" s="50"/>
      <c r="D95" s="50"/>
      <c r="E95" s="50"/>
      <c r="F95" s="50"/>
      <c r="G95" s="50"/>
      <c r="H95" s="73" t="s">
        <v>70</v>
      </c>
      <c r="I95" s="73" t="s">
        <v>273</v>
      </c>
      <c r="J95" s="59">
        <v>11086</v>
      </c>
      <c r="K95" s="59">
        <v>74294</v>
      </c>
      <c r="L95" s="59">
        <v>473721</v>
      </c>
      <c r="M95" s="59">
        <v>12572</v>
      </c>
      <c r="N95" s="59">
        <v>571673</v>
      </c>
      <c r="O95" s="63">
        <v>649594</v>
      </c>
      <c r="P95" s="63">
        <f t="shared" si="2"/>
        <v>77921</v>
      </c>
      <c r="Q95" s="50">
        <v>1</v>
      </c>
      <c r="R95" s="50"/>
      <c r="S95" s="69" t="s">
        <v>70</v>
      </c>
      <c r="T95" s="50"/>
      <c r="U95" s="52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  <c r="CQ95" s="50"/>
      <c r="CR95" s="50"/>
      <c r="CS95" s="50"/>
      <c r="CT95" s="50"/>
      <c r="CU95" s="50"/>
      <c r="CV95" s="50"/>
      <c r="CW95" s="50"/>
      <c r="CX95" s="50"/>
      <c r="CY95" s="50"/>
      <c r="CZ95" s="50"/>
      <c r="DA95" s="50"/>
      <c r="DB95" s="50"/>
      <c r="DC95" s="50"/>
      <c r="DD95" s="50"/>
      <c r="DE95" s="50"/>
      <c r="DF95" s="50"/>
      <c r="DG95" s="50"/>
      <c r="DH95" s="50"/>
      <c r="DI95" s="50"/>
      <c r="DJ95" s="50"/>
      <c r="DK95" s="50"/>
      <c r="DL95" s="50"/>
      <c r="DM95" s="50"/>
      <c r="DN95" s="50"/>
      <c r="DO95" s="50"/>
      <c r="DP95" s="50"/>
      <c r="DQ95" s="50"/>
      <c r="DR95" s="50"/>
      <c r="DS95" s="50"/>
      <c r="DT95" s="50"/>
      <c r="DU95" s="50"/>
      <c r="DV95" s="50"/>
      <c r="DW95" s="50"/>
      <c r="DX95" s="50"/>
      <c r="DY95" s="50"/>
      <c r="DZ95" s="50"/>
      <c r="EA95" s="50"/>
      <c r="EB95" s="50"/>
      <c r="EC95" s="50"/>
      <c r="ED95" s="50"/>
      <c r="EE95" s="50"/>
      <c r="EF95" s="50"/>
      <c r="EG95" s="50"/>
      <c r="EH95" s="50"/>
      <c r="EI95" s="50"/>
      <c r="EJ95" s="50"/>
      <c r="EK95" s="50"/>
      <c r="EL95" s="50"/>
      <c r="EM95" s="50"/>
      <c r="EN95" s="50"/>
      <c r="EO95" s="50"/>
      <c r="EP95" s="50"/>
      <c r="EQ95" s="50"/>
      <c r="ER95" s="50"/>
      <c r="ES95" s="50"/>
      <c r="ET95" s="50"/>
      <c r="EU95" s="50"/>
      <c r="EV95" s="50"/>
      <c r="EW95" s="50"/>
      <c r="EX95" s="50"/>
      <c r="EY95" s="50"/>
      <c r="EZ95" s="50"/>
      <c r="FA95" s="50"/>
      <c r="FB95" s="50"/>
      <c r="FC95" s="50"/>
      <c r="FD95" s="50"/>
      <c r="FE95" s="50"/>
      <c r="FF95" s="50"/>
      <c r="FG95" s="50"/>
      <c r="FH95" s="50"/>
      <c r="FI95" s="50"/>
      <c r="FJ95" s="50"/>
      <c r="FK95" s="50"/>
      <c r="FL95" s="50"/>
      <c r="FM95" s="50"/>
      <c r="FN95" s="50"/>
      <c r="FO95" s="50"/>
      <c r="FP95" s="50"/>
      <c r="FQ95" s="50"/>
      <c r="FR95" s="50"/>
      <c r="FS95" s="50"/>
      <c r="FT95" s="50"/>
      <c r="FU95" s="50"/>
      <c r="FV95" s="50"/>
      <c r="FW95" s="50"/>
      <c r="FX95" s="50"/>
      <c r="FY95" s="50"/>
      <c r="FZ95" s="50"/>
      <c r="GA95" s="50"/>
      <c r="GB95" s="50"/>
      <c r="GC95" s="50"/>
      <c r="GD95" s="50"/>
      <c r="GE95" s="50"/>
      <c r="GF95" s="50"/>
      <c r="GG95" s="50"/>
      <c r="GH95" s="50"/>
      <c r="GI95" s="50"/>
      <c r="GJ95" s="50"/>
      <c r="GK95" s="50"/>
      <c r="GL95" s="50"/>
      <c r="GM95" s="50"/>
      <c r="GN95" s="50"/>
      <c r="GO95" s="50"/>
      <c r="GP95" s="50"/>
      <c r="GQ95" s="50"/>
      <c r="GR95" s="50"/>
      <c r="GS95" s="50"/>
      <c r="GT95" s="50"/>
      <c r="GU95" s="50"/>
      <c r="GV95" s="50"/>
      <c r="GW95" s="50"/>
      <c r="GX95" s="50"/>
      <c r="GY95" s="50"/>
      <c r="GZ95" s="50"/>
      <c r="HA95" s="50"/>
    </row>
    <row r="96" s="51" customFormat="1" spans="1:209">
      <c r="A96" s="50"/>
      <c r="B96" s="50"/>
      <c r="C96" s="50"/>
      <c r="D96" s="50"/>
      <c r="E96" s="50"/>
      <c r="F96" s="50"/>
      <c r="G96" s="50"/>
      <c r="H96" s="73" t="s">
        <v>70</v>
      </c>
      <c r="I96" s="73" t="s">
        <v>274</v>
      </c>
      <c r="J96" s="59">
        <v>12724</v>
      </c>
      <c r="K96" s="59">
        <v>77719</v>
      </c>
      <c r="L96" s="59">
        <v>421212</v>
      </c>
      <c r="M96" s="59">
        <v>19214</v>
      </c>
      <c r="N96" s="59">
        <v>530869</v>
      </c>
      <c r="O96" s="63">
        <v>527010</v>
      </c>
      <c r="P96" s="63">
        <f t="shared" si="2"/>
        <v>-3859</v>
      </c>
      <c r="Q96" s="50">
        <v>1</v>
      </c>
      <c r="R96" s="50"/>
      <c r="S96" s="69" t="s">
        <v>70</v>
      </c>
      <c r="T96" s="50"/>
      <c r="U96" s="74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  <c r="CW96" s="50"/>
      <c r="CX96" s="50"/>
      <c r="CY96" s="50"/>
      <c r="CZ96" s="50"/>
      <c r="DA96" s="50"/>
      <c r="DB96" s="50"/>
      <c r="DC96" s="50"/>
      <c r="DD96" s="50"/>
      <c r="DE96" s="50"/>
      <c r="DF96" s="50"/>
      <c r="DG96" s="50"/>
      <c r="DH96" s="50"/>
      <c r="DI96" s="50"/>
      <c r="DJ96" s="50"/>
      <c r="DK96" s="50"/>
      <c r="DL96" s="50"/>
      <c r="DM96" s="50"/>
      <c r="DN96" s="50"/>
      <c r="DO96" s="50"/>
      <c r="DP96" s="50"/>
      <c r="DQ96" s="50"/>
      <c r="DR96" s="50"/>
      <c r="DS96" s="50"/>
      <c r="DT96" s="50"/>
      <c r="DU96" s="50"/>
      <c r="DV96" s="50"/>
      <c r="DW96" s="50"/>
      <c r="DX96" s="50"/>
      <c r="DY96" s="50"/>
      <c r="DZ96" s="50"/>
      <c r="EA96" s="50"/>
      <c r="EB96" s="50"/>
      <c r="EC96" s="50"/>
      <c r="ED96" s="50"/>
      <c r="EE96" s="50"/>
      <c r="EF96" s="50"/>
      <c r="EG96" s="50"/>
      <c r="EH96" s="50"/>
      <c r="EI96" s="50"/>
      <c r="EJ96" s="50"/>
      <c r="EK96" s="50"/>
      <c r="EL96" s="50"/>
      <c r="EM96" s="50"/>
      <c r="EN96" s="50"/>
      <c r="EO96" s="50"/>
      <c r="EP96" s="50"/>
      <c r="EQ96" s="50"/>
      <c r="ER96" s="50"/>
      <c r="ES96" s="50"/>
      <c r="ET96" s="50"/>
      <c r="EU96" s="50"/>
      <c r="EV96" s="50"/>
      <c r="EW96" s="50"/>
      <c r="EX96" s="50"/>
      <c r="EY96" s="50"/>
      <c r="EZ96" s="50"/>
      <c r="FA96" s="50"/>
      <c r="FB96" s="50"/>
      <c r="FC96" s="50"/>
      <c r="FD96" s="50"/>
      <c r="FE96" s="50"/>
      <c r="FF96" s="50"/>
      <c r="FG96" s="50"/>
      <c r="FH96" s="50"/>
      <c r="FI96" s="50"/>
      <c r="FJ96" s="50"/>
      <c r="FK96" s="50"/>
      <c r="FL96" s="50"/>
      <c r="FM96" s="50"/>
      <c r="FN96" s="50"/>
      <c r="FO96" s="50"/>
      <c r="FP96" s="50"/>
      <c r="FQ96" s="50"/>
      <c r="FR96" s="50"/>
      <c r="FS96" s="50"/>
      <c r="FT96" s="50"/>
      <c r="FU96" s="50"/>
      <c r="FV96" s="50"/>
      <c r="FW96" s="50"/>
      <c r="FX96" s="50"/>
      <c r="FY96" s="50"/>
      <c r="FZ96" s="50"/>
      <c r="GA96" s="50"/>
      <c r="GB96" s="50"/>
      <c r="GC96" s="50"/>
      <c r="GD96" s="50"/>
      <c r="GE96" s="50"/>
      <c r="GF96" s="50"/>
      <c r="GG96" s="50"/>
      <c r="GH96" s="50"/>
      <c r="GI96" s="50"/>
      <c r="GJ96" s="50"/>
      <c r="GK96" s="50"/>
      <c r="GL96" s="50"/>
      <c r="GM96" s="50"/>
      <c r="GN96" s="50"/>
      <c r="GO96" s="50"/>
      <c r="GP96" s="50"/>
      <c r="GQ96" s="50"/>
      <c r="GR96" s="50"/>
      <c r="GS96" s="50"/>
      <c r="GT96" s="50"/>
      <c r="GU96" s="50"/>
      <c r="GV96" s="50"/>
      <c r="GW96" s="50"/>
      <c r="GX96" s="50"/>
      <c r="GY96" s="50"/>
      <c r="GZ96" s="50"/>
      <c r="HA96" s="50"/>
    </row>
    <row r="97" s="51" customFormat="1" spans="1:209">
      <c r="A97" s="50"/>
      <c r="B97" s="50"/>
      <c r="C97" s="50"/>
      <c r="D97" s="50"/>
      <c r="E97" s="50"/>
      <c r="F97" s="50"/>
      <c r="G97" s="50"/>
      <c r="H97" s="73" t="s">
        <v>70</v>
      </c>
      <c r="I97" s="73" t="s">
        <v>276</v>
      </c>
      <c r="J97" s="59">
        <v>12287</v>
      </c>
      <c r="K97" s="59">
        <v>78607</v>
      </c>
      <c r="L97" s="59">
        <v>364756</v>
      </c>
      <c r="M97" s="59">
        <v>5986</v>
      </c>
      <c r="N97" s="59">
        <v>461636</v>
      </c>
      <c r="O97" s="63">
        <v>381458</v>
      </c>
      <c r="P97" s="63">
        <f t="shared" si="2"/>
        <v>-80178</v>
      </c>
      <c r="Q97" s="50">
        <v>1</v>
      </c>
      <c r="R97" s="50"/>
      <c r="S97" s="69" t="s">
        <v>70</v>
      </c>
      <c r="T97" s="50"/>
      <c r="U97" s="52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  <c r="CQ97" s="50"/>
      <c r="CR97" s="50"/>
      <c r="CS97" s="50"/>
      <c r="CT97" s="50"/>
      <c r="CU97" s="50"/>
      <c r="CV97" s="50"/>
      <c r="CW97" s="50"/>
      <c r="CX97" s="50"/>
      <c r="CY97" s="50"/>
      <c r="CZ97" s="50"/>
      <c r="DA97" s="50"/>
      <c r="DB97" s="50"/>
      <c r="DC97" s="50"/>
      <c r="DD97" s="50"/>
      <c r="DE97" s="50"/>
      <c r="DF97" s="50"/>
      <c r="DG97" s="50"/>
      <c r="DH97" s="50"/>
      <c r="DI97" s="50"/>
      <c r="DJ97" s="50"/>
      <c r="DK97" s="50"/>
      <c r="DL97" s="50"/>
      <c r="DM97" s="50"/>
      <c r="DN97" s="50"/>
      <c r="DO97" s="50"/>
      <c r="DP97" s="50"/>
      <c r="DQ97" s="50"/>
      <c r="DR97" s="50"/>
      <c r="DS97" s="50"/>
      <c r="DT97" s="50"/>
      <c r="DU97" s="50"/>
      <c r="DV97" s="50"/>
      <c r="DW97" s="50"/>
      <c r="DX97" s="50"/>
      <c r="DY97" s="50"/>
      <c r="DZ97" s="50"/>
      <c r="EA97" s="50"/>
      <c r="EB97" s="50"/>
      <c r="EC97" s="50"/>
      <c r="ED97" s="50"/>
      <c r="EE97" s="50"/>
      <c r="EF97" s="50"/>
      <c r="EG97" s="50"/>
      <c r="EH97" s="50"/>
      <c r="EI97" s="50"/>
      <c r="EJ97" s="50"/>
      <c r="EK97" s="50"/>
      <c r="EL97" s="50"/>
      <c r="EM97" s="50"/>
      <c r="EN97" s="50"/>
      <c r="EO97" s="50"/>
      <c r="EP97" s="50"/>
      <c r="EQ97" s="50"/>
      <c r="ER97" s="50"/>
      <c r="ES97" s="50"/>
      <c r="ET97" s="50"/>
      <c r="EU97" s="50"/>
      <c r="EV97" s="50"/>
      <c r="EW97" s="50"/>
      <c r="EX97" s="50"/>
      <c r="EY97" s="50"/>
      <c r="EZ97" s="50"/>
      <c r="FA97" s="50"/>
      <c r="FB97" s="50"/>
      <c r="FC97" s="50"/>
      <c r="FD97" s="50"/>
      <c r="FE97" s="50"/>
      <c r="FF97" s="50"/>
      <c r="FG97" s="50"/>
      <c r="FH97" s="50"/>
      <c r="FI97" s="50"/>
      <c r="FJ97" s="50"/>
      <c r="FK97" s="50"/>
      <c r="FL97" s="50"/>
      <c r="FM97" s="50"/>
      <c r="FN97" s="50"/>
      <c r="FO97" s="50"/>
      <c r="FP97" s="50"/>
      <c r="FQ97" s="50"/>
      <c r="FR97" s="50"/>
      <c r="FS97" s="50"/>
      <c r="FT97" s="50"/>
      <c r="FU97" s="50"/>
      <c r="FV97" s="50"/>
      <c r="FW97" s="50"/>
      <c r="FX97" s="50"/>
      <c r="FY97" s="50"/>
      <c r="FZ97" s="50"/>
      <c r="GA97" s="50"/>
      <c r="GB97" s="50"/>
      <c r="GC97" s="50"/>
      <c r="GD97" s="50"/>
      <c r="GE97" s="50"/>
      <c r="GF97" s="50"/>
      <c r="GG97" s="50"/>
      <c r="GH97" s="50"/>
      <c r="GI97" s="50"/>
      <c r="GJ97" s="50"/>
      <c r="GK97" s="50"/>
      <c r="GL97" s="50"/>
      <c r="GM97" s="50"/>
      <c r="GN97" s="50"/>
      <c r="GO97" s="50"/>
      <c r="GP97" s="50"/>
      <c r="GQ97" s="50"/>
      <c r="GR97" s="50"/>
      <c r="GS97" s="50"/>
      <c r="GT97" s="50"/>
      <c r="GU97" s="50"/>
      <c r="GV97" s="50"/>
      <c r="GW97" s="50"/>
      <c r="GX97" s="50"/>
      <c r="GY97" s="50"/>
      <c r="GZ97" s="50"/>
      <c r="HA97" s="50"/>
    </row>
    <row r="98" s="51" customFormat="1" spans="1:209">
      <c r="A98" s="50"/>
      <c r="B98" s="50"/>
      <c r="C98" s="50"/>
      <c r="D98" s="50"/>
      <c r="E98" s="50"/>
      <c r="F98" s="50"/>
      <c r="G98" s="50"/>
      <c r="H98" s="73" t="s">
        <v>70</v>
      </c>
      <c r="I98" s="73" t="s">
        <v>278</v>
      </c>
      <c r="J98" s="59">
        <v>7441</v>
      </c>
      <c r="K98" s="59">
        <v>45676</v>
      </c>
      <c r="L98" s="59">
        <v>256272</v>
      </c>
      <c r="M98" s="59">
        <v>8572</v>
      </c>
      <c r="N98" s="59">
        <v>317961</v>
      </c>
      <c r="O98" s="63">
        <v>343851</v>
      </c>
      <c r="P98" s="63">
        <f t="shared" si="2"/>
        <v>25890</v>
      </c>
      <c r="Q98" s="50">
        <v>1</v>
      </c>
      <c r="R98" s="50"/>
      <c r="S98" s="69" t="s">
        <v>70</v>
      </c>
      <c r="T98" s="50"/>
      <c r="U98" s="52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  <c r="CR98" s="50"/>
      <c r="CS98" s="50"/>
      <c r="CT98" s="50"/>
      <c r="CU98" s="50"/>
      <c r="CV98" s="50"/>
      <c r="CW98" s="50"/>
      <c r="CX98" s="50"/>
      <c r="CY98" s="50"/>
      <c r="CZ98" s="50"/>
      <c r="DA98" s="50"/>
      <c r="DB98" s="50"/>
      <c r="DC98" s="50"/>
      <c r="DD98" s="50"/>
      <c r="DE98" s="50"/>
      <c r="DF98" s="50"/>
      <c r="DG98" s="50"/>
      <c r="DH98" s="50"/>
      <c r="DI98" s="50"/>
      <c r="DJ98" s="50"/>
      <c r="DK98" s="50"/>
      <c r="DL98" s="50"/>
      <c r="DM98" s="50"/>
      <c r="DN98" s="50"/>
      <c r="DO98" s="50"/>
      <c r="DP98" s="50"/>
      <c r="DQ98" s="50"/>
      <c r="DR98" s="50"/>
      <c r="DS98" s="50"/>
      <c r="DT98" s="50"/>
      <c r="DU98" s="50"/>
      <c r="DV98" s="50"/>
      <c r="DW98" s="50"/>
      <c r="DX98" s="50"/>
      <c r="DY98" s="50"/>
      <c r="DZ98" s="50"/>
      <c r="EA98" s="50"/>
      <c r="EB98" s="50"/>
      <c r="EC98" s="50"/>
      <c r="ED98" s="50"/>
      <c r="EE98" s="50"/>
      <c r="EF98" s="50"/>
      <c r="EG98" s="50"/>
      <c r="EH98" s="50"/>
      <c r="EI98" s="50"/>
      <c r="EJ98" s="50"/>
      <c r="EK98" s="50"/>
      <c r="EL98" s="50"/>
      <c r="EM98" s="50"/>
      <c r="EN98" s="50"/>
      <c r="EO98" s="50"/>
      <c r="EP98" s="50"/>
      <c r="EQ98" s="50"/>
      <c r="ER98" s="50"/>
      <c r="ES98" s="50"/>
      <c r="ET98" s="50"/>
      <c r="EU98" s="50"/>
      <c r="EV98" s="50"/>
      <c r="EW98" s="50"/>
      <c r="EX98" s="50"/>
      <c r="EY98" s="50"/>
      <c r="EZ98" s="50"/>
      <c r="FA98" s="50"/>
      <c r="FB98" s="50"/>
      <c r="FC98" s="50"/>
      <c r="FD98" s="50"/>
      <c r="FE98" s="50"/>
      <c r="FF98" s="50"/>
      <c r="FG98" s="50"/>
      <c r="FH98" s="50"/>
      <c r="FI98" s="50"/>
      <c r="FJ98" s="50"/>
      <c r="FK98" s="50"/>
      <c r="FL98" s="50"/>
      <c r="FM98" s="50"/>
      <c r="FN98" s="50"/>
      <c r="FO98" s="50"/>
      <c r="FP98" s="50"/>
      <c r="FQ98" s="50"/>
      <c r="FR98" s="50"/>
      <c r="FS98" s="50"/>
      <c r="FT98" s="50"/>
      <c r="FU98" s="50"/>
      <c r="FV98" s="50"/>
      <c r="FW98" s="50"/>
      <c r="FX98" s="50"/>
      <c r="FY98" s="50"/>
      <c r="FZ98" s="50"/>
      <c r="GA98" s="50"/>
      <c r="GB98" s="50"/>
      <c r="GC98" s="50"/>
      <c r="GD98" s="50"/>
      <c r="GE98" s="50"/>
      <c r="GF98" s="50"/>
      <c r="GG98" s="50"/>
      <c r="GH98" s="50"/>
      <c r="GI98" s="50"/>
      <c r="GJ98" s="50"/>
      <c r="GK98" s="50"/>
      <c r="GL98" s="50"/>
      <c r="GM98" s="50"/>
      <c r="GN98" s="50"/>
      <c r="GO98" s="50"/>
      <c r="GP98" s="50"/>
      <c r="GQ98" s="50"/>
      <c r="GR98" s="50"/>
      <c r="GS98" s="50"/>
      <c r="GT98" s="50"/>
      <c r="GU98" s="50"/>
      <c r="GV98" s="50"/>
      <c r="GW98" s="50"/>
      <c r="GX98" s="50"/>
      <c r="GY98" s="50"/>
      <c r="GZ98" s="50"/>
      <c r="HA98" s="50"/>
    </row>
    <row r="99" s="51" customFormat="1" spans="1:209">
      <c r="A99" s="50"/>
      <c r="B99" s="50"/>
      <c r="C99" s="50"/>
      <c r="D99" s="50"/>
      <c r="E99" s="50"/>
      <c r="F99" s="50"/>
      <c r="G99" s="50"/>
      <c r="H99" s="60" t="s">
        <v>95</v>
      </c>
      <c r="I99" s="60" t="s">
        <v>361</v>
      </c>
      <c r="J99" s="59">
        <v>56221</v>
      </c>
      <c r="K99" s="59">
        <v>272672</v>
      </c>
      <c r="L99" s="59">
        <v>987073</v>
      </c>
      <c r="M99" s="59">
        <v>13619</v>
      </c>
      <c r="N99" s="59">
        <v>1329585</v>
      </c>
      <c r="O99" s="63">
        <v>1444347</v>
      </c>
      <c r="P99" s="63">
        <f t="shared" si="2"/>
        <v>114762</v>
      </c>
      <c r="Q99" s="50"/>
      <c r="R99" s="50">
        <v>1</v>
      </c>
      <c r="S99" s="69" t="s">
        <v>95</v>
      </c>
      <c r="T99" s="50"/>
      <c r="U99" s="52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  <c r="CR99" s="50"/>
      <c r="CS99" s="50"/>
      <c r="CT99" s="50"/>
      <c r="CU99" s="50"/>
      <c r="CV99" s="50"/>
      <c r="CW99" s="50"/>
      <c r="CX99" s="50"/>
      <c r="CY99" s="50"/>
      <c r="CZ99" s="50"/>
      <c r="DA99" s="50"/>
      <c r="DB99" s="50"/>
      <c r="DC99" s="50"/>
      <c r="DD99" s="50"/>
      <c r="DE99" s="50"/>
      <c r="DF99" s="50"/>
      <c r="DG99" s="50"/>
      <c r="DH99" s="50"/>
      <c r="DI99" s="50"/>
      <c r="DJ99" s="50"/>
      <c r="DK99" s="50"/>
      <c r="DL99" s="50"/>
      <c r="DM99" s="50"/>
      <c r="DN99" s="50"/>
      <c r="DO99" s="50"/>
      <c r="DP99" s="50"/>
      <c r="DQ99" s="50"/>
      <c r="DR99" s="50"/>
      <c r="DS99" s="50"/>
      <c r="DT99" s="50"/>
      <c r="DU99" s="50"/>
      <c r="DV99" s="50"/>
      <c r="DW99" s="50"/>
      <c r="DX99" s="50"/>
      <c r="DY99" s="50"/>
      <c r="DZ99" s="50"/>
      <c r="EA99" s="50"/>
      <c r="EB99" s="50"/>
      <c r="EC99" s="50"/>
      <c r="ED99" s="50"/>
      <c r="EE99" s="50"/>
      <c r="EF99" s="50"/>
      <c r="EG99" s="50"/>
      <c r="EH99" s="50"/>
      <c r="EI99" s="50"/>
      <c r="EJ99" s="50"/>
      <c r="EK99" s="50"/>
      <c r="EL99" s="50"/>
      <c r="EM99" s="50"/>
      <c r="EN99" s="50"/>
      <c r="EO99" s="50"/>
      <c r="EP99" s="50"/>
      <c r="EQ99" s="50"/>
      <c r="ER99" s="50"/>
      <c r="ES99" s="50"/>
      <c r="ET99" s="50"/>
      <c r="EU99" s="50"/>
      <c r="EV99" s="50"/>
      <c r="EW99" s="50"/>
      <c r="EX99" s="50"/>
      <c r="EY99" s="50"/>
      <c r="EZ99" s="50"/>
      <c r="FA99" s="50"/>
      <c r="FB99" s="50"/>
      <c r="FC99" s="50"/>
      <c r="FD99" s="50"/>
      <c r="FE99" s="50"/>
      <c r="FF99" s="50"/>
      <c r="FG99" s="50"/>
      <c r="FH99" s="50"/>
      <c r="FI99" s="50"/>
      <c r="FJ99" s="50"/>
      <c r="FK99" s="50"/>
      <c r="FL99" s="50"/>
      <c r="FM99" s="50"/>
      <c r="FN99" s="50"/>
      <c r="FO99" s="50"/>
      <c r="FP99" s="50"/>
      <c r="FQ99" s="50"/>
      <c r="FR99" s="50"/>
      <c r="FS99" s="50"/>
      <c r="FT99" s="50"/>
      <c r="FU99" s="50"/>
      <c r="FV99" s="50"/>
      <c r="FW99" s="50"/>
      <c r="FX99" s="50"/>
      <c r="FY99" s="50"/>
      <c r="FZ99" s="50"/>
      <c r="GA99" s="50"/>
      <c r="GB99" s="50"/>
      <c r="GC99" s="50"/>
      <c r="GD99" s="50"/>
      <c r="GE99" s="50"/>
      <c r="GF99" s="50"/>
      <c r="GG99" s="50"/>
      <c r="GH99" s="50"/>
      <c r="GI99" s="50"/>
      <c r="GJ99" s="50"/>
      <c r="GK99" s="50"/>
      <c r="GL99" s="50"/>
      <c r="GM99" s="50"/>
      <c r="GN99" s="50"/>
      <c r="GO99" s="50"/>
      <c r="GP99" s="50"/>
      <c r="GQ99" s="50"/>
      <c r="GR99" s="50"/>
      <c r="GS99" s="50"/>
      <c r="GT99" s="50"/>
      <c r="GU99" s="50"/>
      <c r="GV99" s="50"/>
      <c r="GW99" s="50"/>
      <c r="GX99" s="50"/>
      <c r="GY99" s="50"/>
      <c r="GZ99" s="50"/>
      <c r="HA99" s="50"/>
    </row>
    <row r="100" s="51" customFormat="1" spans="1:209">
      <c r="A100" s="50"/>
      <c r="B100" s="50"/>
      <c r="C100" s="50"/>
      <c r="D100" s="50"/>
      <c r="E100" s="50"/>
      <c r="F100" s="50"/>
      <c r="G100" s="50"/>
      <c r="H100" s="60" t="s">
        <v>95</v>
      </c>
      <c r="I100" s="60" t="s">
        <v>362</v>
      </c>
      <c r="J100" s="59">
        <v>41564</v>
      </c>
      <c r="K100" s="59">
        <v>238958</v>
      </c>
      <c r="L100" s="59">
        <v>791039</v>
      </c>
      <c r="M100" s="59">
        <v>11199</v>
      </c>
      <c r="N100" s="59">
        <v>1082760</v>
      </c>
      <c r="O100" s="63">
        <v>1047929</v>
      </c>
      <c r="P100" s="63">
        <f t="shared" ref="P100:P131" si="3">O100-N100</f>
        <v>-34831</v>
      </c>
      <c r="Q100" s="50"/>
      <c r="R100" s="50">
        <v>1</v>
      </c>
      <c r="S100" s="69" t="s">
        <v>95</v>
      </c>
      <c r="T100" s="50"/>
      <c r="U100" s="52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  <c r="CV100" s="50"/>
      <c r="CW100" s="50"/>
      <c r="CX100" s="50"/>
      <c r="CY100" s="50"/>
      <c r="CZ100" s="50"/>
      <c r="DA100" s="50"/>
      <c r="DB100" s="50"/>
      <c r="DC100" s="50"/>
      <c r="DD100" s="50"/>
      <c r="DE100" s="50"/>
      <c r="DF100" s="50"/>
      <c r="DG100" s="50"/>
      <c r="DH100" s="50"/>
      <c r="DI100" s="50"/>
      <c r="DJ100" s="50"/>
      <c r="DK100" s="50"/>
      <c r="DL100" s="50"/>
      <c r="DM100" s="50"/>
      <c r="DN100" s="50"/>
      <c r="DO100" s="50"/>
      <c r="DP100" s="50"/>
      <c r="DQ100" s="50"/>
      <c r="DR100" s="50"/>
      <c r="DS100" s="50"/>
      <c r="DT100" s="50"/>
      <c r="DU100" s="50"/>
      <c r="DV100" s="50"/>
      <c r="DW100" s="50"/>
      <c r="DX100" s="50"/>
      <c r="DY100" s="50"/>
      <c r="DZ100" s="50"/>
      <c r="EA100" s="50"/>
      <c r="EB100" s="50"/>
      <c r="EC100" s="50"/>
      <c r="ED100" s="50"/>
      <c r="EE100" s="50"/>
      <c r="EF100" s="50"/>
      <c r="EG100" s="50"/>
      <c r="EH100" s="50"/>
      <c r="EI100" s="50"/>
      <c r="EJ100" s="50"/>
      <c r="EK100" s="50"/>
      <c r="EL100" s="50"/>
      <c r="EM100" s="50"/>
      <c r="EN100" s="50"/>
      <c r="EO100" s="50"/>
      <c r="EP100" s="50"/>
      <c r="EQ100" s="50"/>
      <c r="ER100" s="50"/>
      <c r="ES100" s="50"/>
      <c r="ET100" s="50"/>
      <c r="EU100" s="50"/>
      <c r="EV100" s="50"/>
      <c r="EW100" s="50"/>
      <c r="EX100" s="50"/>
      <c r="EY100" s="50"/>
      <c r="EZ100" s="50"/>
      <c r="FA100" s="50"/>
      <c r="FB100" s="50"/>
      <c r="FC100" s="50"/>
      <c r="FD100" s="50"/>
      <c r="FE100" s="50"/>
      <c r="FF100" s="50"/>
      <c r="FG100" s="50"/>
      <c r="FH100" s="50"/>
      <c r="FI100" s="50"/>
      <c r="FJ100" s="50"/>
      <c r="FK100" s="50"/>
      <c r="FL100" s="50"/>
      <c r="FM100" s="50"/>
      <c r="FN100" s="50"/>
      <c r="FO100" s="50"/>
      <c r="FP100" s="50"/>
      <c r="FQ100" s="50"/>
      <c r="FR100" s="50"/>
      <c r="FS100" s="50"/>
      <c r="FT100" s="50"/>
      <c r="FU100" s="50"/>
      <c r="FV100" s="50"/>
      <c r="FW100" s="50"/>
      <c r="FX100" s="50"/>
      <c r="FY100" s="50"/>
      <c r="FZ100" s="50"/>
      <c r="GA100" s="50"/>
      <c r="GB100" s="50"/>
      <c r="GC100" s="50"/>
      <c r="GD100" s="50"/>
      <c r="GE100" s="50"/>
      <c r="GF100" s="50"/>
      <c r="GG100" s="50"/>
      <c r="GH100" s="50"/>
      <c r="GI100" s="50"/>
      <c r="GJ100" s="50"/>
      <c r="GK100" s="50"/>
      <c r="GL100" s="50"/>
      <c r="GM100" s="50"/>
      <c r="GN100" s="50"/>
      <c r="GO100" s="50"/>
      <c r="GP100" s="50"/>
      <c r="GQ100" s="50"/>
      <c r="GR100" s="50"/>
      <c r="GS100" s="50"/>
      <c r="GT100" s="50"/>
      <c r="GU100" s="50"/>
      <c r="GV100" s="50"/>
      <c r="GW100" s="50"/>
      <c r="GX100" s="50"/>
      <c r="GY100" s="50"/>
      <c r="GZ100" s="50"/>
      <c r="HA100" s="50"/>
    </row>
    <row r="101" s="51" customFormat="1" spans="1:209">
      <c r="A101" s="50"/>
      <c r="B101" s="50"/>
      <c r="C101" s="50"/>
      <c r="D101" s="50"/>
      <c r="E101" s="50"/>
      <c r="F101" s="50"/>
      <c r="G101" s="50"/>
      <c r="H101" s="60" t="s">
        <v>95</v>
      </c>
      <c r="I101" s="60" t="s">
        <v>313</v>
      </c>
      <c r="J101" s="59">
        <v>38657</v>
      </c>
      <c r="K101" s="59">
        <v>220088</v>
      </c>
      <c r="L101" s="59">
        <v>854602</v>
      </c>
      <c r="M101" s="59">
        <v>11820</v>
      </c>
      <c r="N101" s="59">
        <v>1125167</v>
      </c>
      <c r="O101" s="63">
        <v>826100</v>
      </c>
      <c r="P101" s="63">
        <f t="shared" si="3"/>
        <v>-299067</v>
      </c>
      <c r="Q101" s="50">
        <v>1</v>
      </c>
      <c r="R101" s="50">
        <v>1</v>
      </c>
      <c r="S101" s="69" t="s">
        <v>95</v>
      </c>
      <c r="T101" s="50"/>
      <c r="U101" s="52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/>
      <c r="CZ101" s="50"/>
      <c r="DA101" s="50"/>
      <c r="DB101" s="50"/>
      <c r="DC101" s="50"/>
      <c r="DD101" s="50"/>
      <c r="DE101" s="50"/>
      <c r="DF101" s="50"/>
      <c r="DG101" s="50"/>
      <c r="DH101" s="50"/>
      <c r="DI101" s="50"/>
      <c r="DJ101" s="50"/>
      <c r="DK101" s="50"/>
      <c r="DL101" s="50"/>
      <c r="DM101" s="50"/>
      <c r="DN101" s="50"/>
      <c r="DO101" s="50"/>
      <c r="DP101" s="50"/>
      <c r="DQ101" s="50"/>
      <c r="DR101" s="50"/>
      <c r="DS101" s="50"/>
      <c r="DT101" s="50"/>
      <c r="DU101" s="50"/>
      <c r="DV101" s="50"/>
      <c r="DW101" s="50"/>
      <c r="DX101" s="50"/>
      <c r="DY101" s="50"/>
      <c r="DZ101" s="50"/>
      <c r="EA101" s="50"/>
      <c r="EB101" s="50"/>
      <c r="EC101" s="50"/>
      <c r="ED101" s="50"/>
      <c r="EE101" s="50"/>
      <c r="EF101" s="50"/>
      <c r="EG101" s="50"/>
      <c r="EH101" s="50"/>
      <c r="EI101" s="50"/>
      <c r="EJ101" s="50"/>
      <c r="EK101" s="50"/>
      <c r="EL101" s="50"/>
      <c r="EM101" s="50"/>
      <c r="EN101" s="50"/>
      <c r="EO101" s="50"/>
      <c r="EP101" s="50"/>
      <c r="EQ101" s="50"/>
      <c r="ER101" s="50"/>
      <c r="ES101" s="50"/>
      <c r="ET101" s="50"/>
      <c r="EU101" s="50"/>
      <c r="EV101" s="50"/>
      <c r="EW101" s="50"/>
      <c r="EX101" s="50"/>
      <c r="EY101" s="50"/>
      <c r="EZ101" s="50"/>
      <c r="FA101" s="50"/>
      <c r="FB101" s="50"/>
      <c r="FC101" s="50"/>
      <c r="FD101" s="50"/>
      <c r="FE101" s="50"/>
      <c r="FF101" s="50"/>
      <c r="FG101" s="50"/>
      <c r="FH101" s="50"/>
      <c r="FI101" s="50"/>
      <c r="FJ101" s="50"/>
      <c r="FK101" s="50"/>
      <c r="FL101" s="50"/>
      <c r="FM101" s="50"/>
      <c r="FN101" s="50"/>
      <c r="FO101" s="50"/>
      <c r="FP101" s="50"/>
      <c r="FQ101" s="50"/>
      <c r="FR101" s="50"/>
      <c r="FS101" s="50"/>
      <c r="FT101" s="50"/>
      <c r="FU101" s="50"/>
      <c r="FV101" s="50"/>
      <c r="FW101" s="50"/>
      <c r="FX101" s="50"/>
      <c r="FY101" s="50"/>
      <c r="FZ101" s="50"/>
      <c r="GA101" s="50"/>
      <c r="GB101" s="50"/>
      <c r="GC101" s="50"/>
      <c r="GD101" s="50"/>
      <c r="GE101" s="50"/>
      <c r="GF101" s="50"/>
      <c r="GG101" s="50"/>
      <c r="GH101" s="50"/>
      <c r="GI101" s="50"/>
      <c r="GJ101" s="50"/>
      <c r="GK101" s="50"/>
      <c r="GL101" s="50"/>
      <c r="GM101" s="50"/>
      <c r="GN101" s="50"/>
      <c r="GO101" s="50"/>
      <c r="GP101" s="50"/>
      <c r="GQ101" s="50"/>
      <c r="GR101" s="50"/>
      <c r="GS101" s="50"/>
      <c r="GT101" s="50"/>
      <c r="GU101" s="50"/>
      <c r="GV101" s="50"/>
      <c r="GW101" s="50"/>
      <c r="GX101" s="50"/>
      <c r="GY101" s="50"/>
      <c r="GZ101" s="50"/>
      <c r="HA101" s="50"/>
    </row>
    <row r="102" s="51" customFormat="1" spans="1:209">
      <c r="A102" s="50"/>
      <c r="B102" s="50"/>
      <c r="C102" s="50"/>
      <c r="D102" s="50"/>
      <c r="E102" s="50"/>
      <c r="F102" s="50"/>
      <c r="G102" s="50"/>
      <c r="H102" s="60" t="s">
        <v>95</v>
      </c>
      <c r="I102" s="60" t="s">
        <v>315</v>
      </c>
      <c r="J102" s="59">
        <v>20585</v>
      </c>
      <c r="K102" s="59">
        <v>128906</v>
      </c>
      <c r="L102" s="59">
        <v>612588</v>
      </c>
      <c r="M102" s="59">
        <v>16186</v>
      </c>
      <c r="N102" s="59">
        <v>778265</v>
      </c>
      <c r="O102" s="63">
        <v>667221</v>
      </c>
      <c r="P102" s="63">
        <f t="shared" si="3"/>
        <v>-111044</v>
      </c>
      <c r="Q102" s="50">
        <v>1</v>
      </c>
      <c r="R102" s="50">
        <v>1</v>
      </c>
      <c r="S102" s="69" t="s">
        <v>95</v>
      </c>
      <c r="T102" s="50"/>
      <c r="U102" s="52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  <c r="CQ102" s="50"/>
      <c r="CR102" s="50"/>
      <c r="CS102" s="50"/>
      <c r="CT102" s="50"/>
      <c r="CU102" s="50"/>
      <c r="CV102" s="50"/>
      <c r="CW102" s="50"/>
      <c r="CX102" s="50"/>
      <c r="CY102" s="50"/>
      <c r="CZ102" s="50"/>
      <c r="DA102" s="50"/>
      <c r="DB102" s="50"/>
      <c r="DC102" s="50"/>
      <c r="DD102" s="50"/>
      <c r="DE102" s="50"/>
      <c r="DF102" s="50"/>
      <c r="DG102" s="50"/>
      <c r="DH102" s="50"/>
      <c r="DI102" s="50"/>
      <c r="DJ102" s="50"/>
      <c r="DK102" s="50"/>
      <c r="DL102" s="50"/>
      <c r="DM102" s="50"/>
      <c r="DN102" s="50"/>
      <c r="DO102" s="50"/>
      <c r="DP102" s="50"/>
      <c r="DQ102" s="50"/>
      <c r="DR102" s="50"/>
      <c r="DS102" s="50"/>
      <c r="DT102" s="50"/>
      <c r="DU102" s="50"/>
      <c r="DV102" s="50"/>
      <c r="DW102" s="50"/>
      <c r="DX102" s="50"/>
      <c r="DY102" s="50"/>
      <c r="DZ102" s="50"/>
      <c r="EA102" s="50"/>
      <c r="EB102" s="50"/>
      <c r="EC102" s="50"/>
      <c r="ED102" s="50"/>
      <c r="EE102" s="50"/>
      <c r="EF102" s="50"/>
      <c r="EG102" s="50"/>
      <c r="EH102" s="50"/>
      <c r="EI102" s="50"/>
      <c r="EJ102" s="50"/>
      <c r="EK102" s="50"/>
      <c r="EL102" s="50"/>
      <c r="EM102" s="50"/>
      <c r="EN102" s="50"/>
      <c r="EO102" s="50"/>
      <c r="EP102" s="50"/>
      <c r="EQ102" s="50"/>
      <c r="ER102" s="50"/>
      <c r="ES102" s="50"/>
      <c r="ET102" s="50"/>
      <c r="EU102" s="50"/>
      <c r="EV102" s="50"/>
      <c r="EW102" s="50"/>
      <c r="EX102" s="50"/>
      <c r="EY102" s="50"/>
      <c r="EZ102" s="50"/>
      <c r="FA102" s="50"/>
      <c r="FB102" s="50"/>
      <c r="FC102" s="50"/>
      <c r="FD102" s="50"/>
      <c r="FE102" s="50"/>
      <c r="FF102" s="50"/>
      <c r="FG102" s="50"/>
      <c r="FH102" s="50"/>
      <c r="FI102" s="50"/>
      <c r="FJ102" s="50"/>
      <c r="FK102" s="50"/>
      <c r="FL102" s="50"/>
      <c r="FM102" s="50"/>
      <c r="FN102" s="50"/>
      <c r="FO102" s="50"/>
      <c r="FP102" s="50"/>
      <c r="FQ102" s="50"/>
      <c r="FR102" s="50"/>
      <c r="FS102" s="50"/>
      <c r="FT102" s="50"/>
      <c r="FU102" s="50"/>
      <c r="FV102" s="50"/>
      <c r="FW102" s="50"/>
      <c r="FX102" s="50"/>
      <c r="FY102" s="50"/>
      <c r="FZ102" s="50"/>
      <c r="GA102" s="50"/>
      <c r="GB102" s="50"/>
      <c r="GC102" s="50"/>
      <c r="GD102" s="50"/>
      <c r="GE102" s="50"/>
      <c r="GF102" s="50"/>
      <c r="GG102" s="50"/>
      <c r="GH102" s="50"/>
      <c r="GI102" s="50"/>
      <c r="GJ102" s="50"/>
      <c r="GK102" s="50"/>
      <c r="GL102" s="50"/>
      <c r="GM102" s="50"/>
      <c r="GN102" s="50"/>
      <c r="GO102" s="50"/>
      <c r="GP102" s="50"/>
      <c r="GQ102" s="50"/>
      <c r="GR102" s="50"/>
      <c r="GS102" s="50"/>
      <c r="GT102" s="50"/>
      <c r="GU102" s="50"/>
      <c r="GV102" s="50"/>
      <c r="GW102" s="50"/>
      <c r="GX102" s="50"/>
      <c r="GY102" s="50"/>
      <c r="GZ102" s="50"/>
      <c r="HA102" s="50"/>
    </row>
    <row r="103" s="51" customFormat="1" spans="1:209">
      <c r="A103" s="50"/>
      <c r="B103" s="50"/>
      <c r="C103" s="50"/>
      <c r="D103" s="50"/>
      <c r="E103" s="50"/>
      <c r="F103" s="50"/>
      <c r="G103" s="50"/>
      <c r="H103" s="60" t="s">
        <v>95</v>
      </c>
      <c r="I103" s="60" t="s">
        <v>317</v>
      </c>
      <c r="J103" s="59">
        <v>5903</v>
      </c>
      <c r="K103" s="59">
        <v>23361</v>
      </c>
      <c r="L103" s="59">
        <v>173125</v>
      </c>
      <c r="M103" s="59">
        <v>5460</v>
      </c>
      <c r="N103" s="59">
        <v>207849</v>
      </c>
      <c r="O103" s="63">
        <v>209094</v>
      </c>
      <c r="P103" s="63">
        <f t="shared" si="3"/>
        <v>1245</v>
      </c>
      <c r="Q103" s="50">
        <v>1</v>
      </c>
      <c r="R103" s="50">
        <v>1</v>
      </c>
      <c r="S103" s="69" t="s">
        <v>95</v>
      </c>
      <c r="T103" s="50"/>
      <c r="U103" s="52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0"/>
      <c r="CW103" s="50"/>
      <c r="CX103" s="50"/>
      <c r="CY103" s="50"/>
      <c r="CZ103" s="50"/>
      <c r="DA103" s="50"/>
      <c r="DB103" s="50"/>
      <c r="DC103" s="50"/>
      <c r="DD103" s="50"/>
      <c r="DE103" s="50"/>
      <c r="DF103" s="50"/>
      <c r="DG103" s="50"/>
      <c r="DH103" s="50"/>
      <c r="DI103" s="50"/>
      <c r="DJ103" s="50"/>
      <c r="DK103" s="50"/>
      <c r="DL103" s="50"/>
      <c r="DM103" s="50"/>
      <c r="DN103" s="50"/>
      <c r="DO103" s="50"/>
      <c r="DP103" s="50"/>
      <c r="DQ103" s="50"/>
      <c r="DR103" s="50"/>
      <c r="DS103" s="50"/>
      <c r="DT103" s="50"/>
      <c r="DU103" s="50"/>
      <c r="DV103" s="50"/>
      <c r="DW103" s="50"/>
      <c r="DX103" s="50"/>
      <c r="DY103" s="50"/>
      <c r="DZ103" s="50"/>
      <c r="EA103" s="50"/>
      <c r="EB103" s="50"/>
      <c r="EC103" s="50"/>
      <c r="ED103" s="50"/>
      <c r="EE103" s="50"/>
      <c r="EF103" s="50"/>
      <c r="EG103" s="50"/>
      <c r="EH103" s="50"/>
      <c r="EI103" s="50"/>
      <c r="EJ103" s="50"/>
      <c r="EK103" s="50"/>
      <c r="EL103" s="50"/>
      <c r="EM103" s="50"/>
      <c r="EN103" s="50"/>
      <c r="EO103" s="50"/>
      <c r="EP103" s="50"/>
      <c r="EQ103" s="50"/>
      <c r="ER103" s="50"/>
      <c r="ES103" s="50"/>
      <c r="ET103" s="50"/>
      <c r="EU103" s="50"/>
      <c r="EV103" s="50"/>
      <c r="EW103" s="50"/>
      <c r="EX103" s="50"/>
      <c r="EY103" s="50"/>
      <c r="EZ103" s="50"/>
      <c r="FA103" s="50"/>
      <c r="FB103" s="50"/>
      <c r="FC103" s="50"/>
      <c r="FD103" s="50"/>
      <c r="FE103" s="50"/>
      <c r="FF103" s="50"/>
      <c r="FG103" s="50"/>
      <c r="FH103" s="50"/>
      <c r="FI103" s="50"/>
      <c r="FJ103" s="50"/>
      <c r="FK103" s="50"/>
      <c r="FL103" s="50"/>
      <c r="FM103" s="50"/>
      <c r="FN103" s="50"/>
      <c r="FO103" s="50"/>
      <c r="FP103" s="50"/>
      <c r="FQ103" s="50"/>
      <c r="FR103" s="50"/>
      <c r="FS103" s="50"/>
      <c r="FT103" s="50"/>
      <c r="FU103" s="50"/>
      <c r="FV103" s="50"/>
      <c r="FW103" s="50"/>
      <c r="FX103" s="50"/>
      <c r="FY103" s="50"/>
      <c r="FZ103" s="50"/>
      <c r="GA103" s="50"/>
      <c r="GB103" s="50"/>
      <c r="GC103" s="50"/>
      <c r="GD103" s="50"/>
      <c r="GE103" s="50"/>
      <c r="GF103" s="50"/>
      <c r="GG103" s="50"/>
      <c r="GH103" s="50"/>
      <c r="GI103" s="50"/>
      <c r="GJ103" s="50"/>
      <c r="GK103" s="50"/>
      <c r="GL103" s="50"/>
      <c r="GM103" s="50"/>
      <c r="GN103" s="50"/>
      <c r="GO103" s="50"/>
      <c r="GP103" s="50"/>
      <c r="GQ103" s="50"/>
      <c r="GR103" s="50"/>
      <c r="GS103" s="50"/>
      <c r="GT103" s="50"/>
      <c r="GU103" s="50"/>
      <c r="GV103" s="50"/>
      <c r="GW103" s="50"/>
      <c r="GX103" s="50"/>
      <c r="GY103" s="50"/>
      <c r="GZ103" s="50"/>
      <c r="HA103" s="50"/>
    </row>
    <row r="104" s="51" customFormat="1" spans="1:209">
      <c r="A104" s="50"/>
      <c r="B104" s="50"/>
      <c r="C104" s="50"/>
      <c r="D104" s="50"/>
      <c r="E104" s="50"/>
      <c r="F104" s="50"/>
      <c r="G104" s="50"/>
      <c r="H104" s="60" t="s">
        <v>95</v>
      </c>
      <c r="I104" s="60" t="s">
        <v>363</v>
      </c>
      <c r="J104" s="59">
        <v>17421</v>
      </c>
      <c r="K104" s="59">
        <v>95433</v>
      </c>
      <c r="L104" s="59">
        <v>310972</v>
      </c>
      <c r="M104" s="59">
        <v>1559</v>
      </c>
      <c r="N104" s="59">
        <v>425385</v>
      </c>
      <c r="O104" s="63" t="e">
        <v>#N/A</v>
      </c>
      <c r="P104" s="63" t="e">
        <f t="shared" si="3"/>
        <v>#N/A</v>
      </c>
      <c r="Q104" s="50"/>
      <c r="R104" s="50">
        <v>1</v>
      </c>
      <c r="S104" s="69" t="s">
        <v>95</v>
      </c>
      <c r="T104" s="50"/>
      <c r="U104" s="52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50"/>
      <c r="CV104" s="50"/>
      <c r="CW104" s="50"/>
      <c r="CX104" s="50"/>
      <c r="CY104" s="50"/>
      <c r="CZ104" s="50"/>
      <c r="DA104" s="50"/>
      <c r="DB104" s="50"/>
      <c r="DC104" s="50"/>
      <c r="DD104" s="50"/>
      <c r="DE104" s="50"/>
      <c r="DF104" s="50"/>
      <c r="DG104" s="50"/>
      <c r="DH104" s="50"/>
      <c r="DI104" s="50"/>
      <c r="DJ104" s="50"/>
      <c r="DK104" s="50"/>
      <c r="DL104" s="50"/>
      <c r="DM104" s="50"/>
      <c r="DN104" s="50"/>
      <c r="DO104" s="50"/>
      <c r="DP104" s="50"/>
      <c r="DQ104" s="50"/>
      <c r="DR104" s="50"/>
      <c r="DS104" s="50"/>
      <c r="DT104" s="50"/>
      <c r="DU104" s="50"/>
      <c r="DV104" s="50"/>
      <c r="DW104" s="50"/>
      <c r="DX104" s="50"/>
      <c r="DY104" s="50"/>
      <c r="DZ104" s="50"/>
      <c r="EA104" s="50"/>
      <c r="EB104" s="50"/>
      <c r="EC104" s="50"/>
      <c r="ED104" s="50"/>
      <c r="EE104" s="50"/>
      <c r="EF104" s="50"/>
      <c r="EG104" s="50"/>
      <c r="EH104" s="50"/>
      <c r="EI104" s="50"/>
      <c r="EJ104" s="50"/>
      <c r="EK104" s="50"/>
      <c r="EL104" s="50"/>
      <c r="EM104" s="50"/>
      <c r="EN104" s="50"/>
      <c r="EO104" s="50"/>
      <c r="EP104" s="50"/>
      <c r="EQ104" s="50"/>
      <c r="ER104" s="50"/>
      <c r="ES104" s="50"/>
      <c r="ET104" s="50"/>
      <c r="EU104" s="50"/>
      <c r="EV104" s="50"/>
      <c r="EW104" s="50"/>
      <c r="EX104" s="50"/>
      <c r="EY104" s="50"/>
      <c r="EZ104" s="50"/>
      <c r="FA104" s="50"/>
      <c r="FB104" s="50"/>
      <c r="FC104" s="50"/>
      <c r="FD104" s="50"/>
      <c r="FE104" s="50"/>
      <c r="FF104" s="50"/>
      <c r="FG104" s="50"/>
      <c r="FH104" s="50"/>
      <c r="FI104" s="50"/>
      <c r="FJ104" s="50"/>
      <c r="FK104" s="50"/>
      <c r="FL104" s="50"/>
      <c r="FM104" s="50"/>
      <c r="FN104" s="50"/>
      <c r="FO104" s="50"/>
      <c r="FP104" s="50"/>
      <c r="FQ104" s="50"/>
      <c r="FR104" s="50"/>
      <c r="FS104" s="50"/>
      <c r="FT104" s="50"/>
      <c r="FU104" s="50"/>
      <c r="FV104" s="50"/>
      <c r="FW104" s="50"/>
      <c r="FX104" s="50"/>
      <c r="FY104" s="50"/>
      <c r="FZ104" s="50"/>
      <c r="GA104" s="50"/>
      <c r="GB104" s="50"/>
      <c r="GC104" s="50"/>
      <c r="GD104" s="50"/>
      <c r="GE104" s="50"/>
      <c r="GF104" s="50"/>
      <c r="GG104" s="50"/>
      <c r="GH104" s="50"/>
      <c r="GI104" s="50"/>
      <c r="GJ104" s="50"/>
      <c r="GK104" s="50"/>
      <c r="GL104" s="50"/>
      <c r="GM104" s="50"/>
      <c r="GN104" s="50"/>
      <c r="GO104" s="50"/>
      <c r="GP104" s="50"/>
      <c r="GQ104" s="50"/>
      <c r="GR104" s="50"/>
      <c r="GS104" s="50"/>
      <c r="GT104" s="50"/>
      <c r="GU104" s="50"/>
      <c r="GV104" s="50"/>
      <c r="GW104" s="50"/>
      <c r="GX104" s="50"/>
      <c r="GY104" s="50"/>
      <c r="GZ104" s="50"/>
      <c r="HA104" s="50"/>
    </row>
    <row r="105" s="51" customFormat="1" spans="1:209">
      <c r="A105" s="50"/>
      <c r="B105" s="50"/>
      <c r="C105" s="50"/>
      <c r="D105" s="50"/>
      <c r="E105" s="50"/>
      <c r="F105" s="50"/>
      <c r="G105" s="50"/>
      <c r="H105" s="60" t="s">
        <v>95</v>
      </c>
      <c r="I105" s="60" t="s">
        <v>364</v>
      </c>
      <c r="J105" s="59">
        <v>25899</v>
      </c>
      <c r="K105" s="59">
        <v>140302</v>
      </c>
      <c r="L105" s="59">
        <v>441482</v>
      </c>
      <c r="M105" s="59">
        <v>2753</v>
      </c>
      <c r="N105" s="59">
        <v>610436</v>
      </c>
      <c r="O105" s="63" t="e">
        <v>#N/A</v>
      </c>
      <c r="P105" s="63" t="e">
        <f t="shared" si="3"/>
        <v>#N/A</v>
      </c>
      <c r="Q105" s="50"/>
      <c r="R105" s="50">
        <v>1</v>
      </c>
      <c r="S105" s="69" t="s">
        <v>95</v>
      </c>
      <c r="T105" s="50"/>
      <c r="U105" s="52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50"/>
      <c r="CY105" s="50"/>
      <c r="CZ105" s="50"/>
      <c r="DA105" s="50"/>
      <c r="DB105" s="50"/>
      <c r="DC105" s="50"/>
      <c r="DD105" s="50"/>
      <c r="DE105" s="50"/>
      <c r="DF105" s="50"/>
      <c r="DG105" s="50"/>
      <c r="DH105" s="50"/>
      <c r="DI105" s="50"/>
      <c r="DJ105" s="50"/>
      <c r="DK105" s="50"/>
      <c r="DL105" s="50"/>
      <c r="DM105" s="50"/>
      <c r="DN105" s="50"/>
      <c r="DO105" s="50"/>
      <c r="DP105" s="50"/>
      <c r="DQ105" s="50"/>
      <c r="DR105" s="50"/>
      <c r="DS105" s="50"/>
      <c r="DT105" s="50"/>
      <c r="DU105" s="50"/>
      <c r="DV105" s="50"/>
      <c r="DW105" s="50"/>
      <c r="DX105" s="50"/>
      <c r="DY105" s="50"/>
      <c r="DZ105" s="50"/>
      <c r="EA105" s="50"/>
      <c r="EB105" s="50"/>
      <c r="EC105" s="50"/>
      <c r="ED105" s="50"/>
      <c r="EE105" s="50"/>
      <c r="EF105" s="50"/>
      <c r="EG105" s="50"/>
      <c r="EH105" s="50"/>
      <c r="EI105" s="50"/>
      <c r="EJ105" s="50"/>
      <c r="EK105" s="50"/>
      <c r="EL105" s="50"/>
      <c r="EM105" s="50"/>
      <c r="EN105" s="50"/>
      <c r="EO105" s="50"/>
      <c r="EP105" s="50"/>
      <c r="EQ105" s="50"/>
      <c r="ER105" s="50"/>
      <c r="ES105" s="50"/>
      <c r="ET105" s="50"/>
      <c r="EU105" s="50"/>
      <c r="EV105" s="50"/>
      <c r="EW105" s="50"/>
      <c r="EX105" s="50"/>
      <c r="EY105" s="50"/>
      <c r="EZ105" s="50"/>
      <c r="FA105" s="50"/>
      <c r="FB105" s="50"/>
      <c r="FC105" s="50"/>
      <c r="FD105" s="50"/>
      <c r="FE105" s="50"/>
      <c r="FF105" s="50"/>
      <c r="FG105" s="50"/>
      <c r="FH105" s="50"/>
      <c r="FI105" s="50"/>
      <c r="FJ105" s="50"/>
      <c r="FK105" s="50"/>
      <c r="FL105" s="50"/>
      <c r="FM105" s="50"/>
      <c r="FN105" s="50"/>
      <c r="FO105" s="50"/>
      <c r="FP105" s="50"/>
      <c r="FQ105" s="50"/>
      <c r="FR105" s="50"/>
      <c r="FS105" s="50"/>
      <c r="FT105" s="50"/>
      <c r="FU105" s="50"/>
      <c r="FV105" s="50"/>
      <c r="FW105" s="50"/>
      <c r="FX105" s="50"/>
      <c r="FY105" s="50"/>
      <c r="FZ105" s="50"/>
      <c r="GA105" s="50"/>
      <c r="GB105" s="50"/>
      <c r="GC105" s="50"/>
      <c r="GD105" s="50"/>
      <c r="GE105" s="50"/>
      <c r="GF105" s="50"/>
      <c r="GG105" s="50"/>
      <c r="GH105" s="50"/>
      <c r="GI105" s="50"/>
      <c r="GJ105" s="50"/>
      <c r="GK105" s="50"/>
      <c r="GL105" s="50"/>
      <c r="GM105" s="50"/>
      <c r="GN105" s="50"/>
      <c r="GO105" s="50"/>
      <c r="GP105" s="50"/>
      <c r="GQ105" s="50"/>
      <c r="GR105" s="50"/>
      <c r="GS105" s="50"/>
      <c r="GT105" s="50"/>
      <c r="GU105" s="50"/>
      <c r="GV105" s="50"/>
      <c r="GW105" s="50"/>
      <c r="GX105" s="50"/>
      <c r="GY105" s="50"/>
      <c r="GZ105" s="50"/>
      <c r="HA105" s="50"/>
    </row>
    <row r="106" s="51" customFormat="1" spans="1:209">
      <c r="A106" s="50"/>
      <c r="B106" s="50"/>
      <c r="C106" s="50"/>
      <c r="D106" s="50"/>
      <c r="E106" s="50"/>
      <c r="F106" s="50"/>
      <c r="G106" s="50"/>
      <c r="H106" s="58" t="s">
        <v>113</v>
      </c>
      <c r="I106" s="58" t="s">
        <v>365</v>
      </c>
      <c r="J106" s="59">
        <v>18957</v>
      </c>
      <c r="K106" s="59">
        <v>87037</v>
      </c>
      <c r="L106" s="59">
        <v>421643</v>
      </c>
      <c r="M106" s="59">
        <v>8579</v>
      </c>
      <c r="N106" s="59">
        <v>536216</v>
      </c>
      <c r="O106" s="63">
        <v>468130</v>
      </c>
      <c r="P106" s="63">
        <f t="shared" si="3"/>
        <v>-68086</v>
      </c>
      <c r="Q106" s="50"/>
      <c r="R106" s="50">
        <v>1</v>
      </c>
      <c r="S106" s="69" t="s">
        <v>113</v>
      </c>
      <c r="T106" s="50"/>
      <c r="U106" s="52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0"/>
      <c r="CW106" s="50"/>
      <c r="CX106" s="50"/>
      <c r="CY106" s="50"/>
      <c r="CZ106" s="50"/>
      <c r="DA106" s="50"/>
      <c r="DB106" s="50"/>
      <c r="DC106" s="50"/>
      <c r="DD106" s="50"/>
      <c r="DE106" s="50"/>
      <c r="DF106" s="50"/>
      <c r="DG106" s="50"/>
      <c r="DH106" s="50"/>
      <c r="DI106" s="50"/>
      <c r="DJ106" s="50"/>
      <c r="DK106" s="50"/>
      <c r="DL106" s="50"/>
      <c r="DM106" s="50"/>
      <c r="DN106" s="50"/>
      <c r="DO106" s="50"/>
      <c r="DP106" s="50"/>
      <c r="DQ106" s="50"/>
      <c r="DR106" s="50"/>
      <c r="DS106" s="50"/>
      <c r="DT106" s="50"/>
      <c r="DU106" s="50"/>
      <c r="DV106" s="50"/>
      <c r="DW106" s="50"/>
      <c r="DX106" s="50"/>
      <c r="DY106" s="50"/>
      <c r="DZ106" s="50"/>
      <c r="EA106" s="50"/>
      <c r="EB106" s="50"/>
      <c r="EC106" s="50"/>
      <c r="ED106" s="50"/>
      <c r="EE106" s="50"/>
      <c r="EF106" s="50"/>
      <c r="EG106" s="50"/>
      <c r="EH106" s="50"/>
      <c r="EI106" s="50"/>
      <c r="EJ106" s="50"/>
      <c r="EK106" s="50"/>
      <c r="EL106" s="50"/>
      <c r="EM106" s="50"/>
      <c r="EN106" s="50"/>
      <c r="EO106" s="50"/>
      <c r="EP106" s="50"/>
      <c r="EQ106" s="50"/>
      <c r="ER106" s="50"/>
      <c r="ES106" s="50"/>
      <c r="ET106" s="50"/>
      <c r="EU106" s="50"/>
      <c r="EV106" s="50"/>
      <c r="EW106" s="50"/>
      <c r="EX106" s="50"/>
      <c r="EY106" s="50"/>
      <c r="EZ106" s="50"/>
      <c r="FA106" s="50"/>
      <c r="FB106" s="50"/>
      <c r="FC106" s="50"/>
      <c r="FD106" s="50"/>
      <c r="FE106" s="50"/>
      <c r="FF106" s="50"/>
      <c r="FG106" s="50"/>
      <c r="FH106" s="50"/>
      <c r="FI106" s="50"/>
      <c r="FJ106" s="50"/>
      <c r="FK106" s="50"/>
      <c r="FL106" s="50"/>
      <c r="FM106" s="50"/>
      <c r="FN106" s="50"/>
      <c r="FO106" s="50"/>
      <c r="FP106" s="50"/>
      <c r="FQ106" s="50"/>
      <c r="FR106" s="50"/>
      <c r="FS106" s="50"/>
      <c r="FT106" s="50"/>
      <c r="FU106" s="50"/>
      <c r="FV106" s="50"/>
      <c r="FW106" s="50"/>
      <c r="FX106" s="50"/>
      <c r="FY106" s="50"/>
      <c r="FZ106" s="50"/>
      <c r="GA106" s="50"/>
      <c r="GB106" s="50"/>
      <c r="GC106" s="50"/>
      <c r="GD106" s="50"/>
      <c r="GE106" s="50"/>
      <c r="GF106" s="50"/>
      <c r="GG106" s="50"/>
      <c r="GH106" s="50"/>
      <c r="GI106" s="50"/>
      <c r="GJ106" s="50"/>
      <c r="GK106" s="50"/>
      <c r="GL106" s="50"/>
      <c r="GM106" s="50"/>
      <c r="GN106" s="50"/>
      <c r="GO106" s="50"/>
      <c r="GP106" s="50"/>
      <c r="GQ106" s="50"/>
      <c r="GR106" s="50"/>
      <c r="GS106" s="50"/>
      <c r="GT106" s="50"/>
      <c r="GU106" s="50"/>
      <c r="GV106" s="50"/>
      <c r="GW106" s="50"/>
      <c r="GX106" s="50"/>
      <c r="GY106" s="50"/>
      <c r="GZ106" s="50"/>
      <c r="HA106" s="50"/>
    </row>
    <row r="107" s="51" customFormat="1" spans="1:209">
      <c r="A107" s="50"/>
      <c r="B107" s="50"/>
      <c r="C107" s="50"/>
      <c r="D107" s="50"/>
      <c r="E107" s="50"/>
      <c r="F107" s="50"/>
      <c r="G107" s="50"/>
      <c r="H107" s="58" t="s">
        <v>113</v>
      </c>
      <c r="I107" s="58" t="s">
        <v>366</v>
      </c>
      <c r="J107" s="59">
        <v>3181</v>
      </c>
      <c r="K107" s="59">
        <v>16246</v>
      </c>
      <c r="L107" s="59">
        <v>70276</v>
      </c>
      <c r="M107" s="59">
        <v>410</v>
      </c>
      <c r="N107" s="59">
        <v>90113</v>
      </c>
      <c r="O107" s="63" t="e">
        <v>#N/A</v>
      </c>
      <c r="P107" s="63" t="e">
        <f t="shared" si="3"/>
        <v>#N/A</v>
      </c>
      <c r="Q107" s="50"/>
      <c r="R107" s="50">
        <v>1</v>
      </c>
      <c r="S107" s="69" t="s">
        <v>113</v>
      </c>
      <c r="T107" s="50"/>
      <c r="U107" s="52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  <c r="CW107" s="50"/>
      <c r="CX107" s="50"/>
      <c r="CY107" s="50"/>
      <c r="CZ107" s="50"/>
      <c r="DA107" s="50"/>
      <c r="DB107" s="50"/>
      <c r="DC107" s="50"/>
      <c r="DD107" s="50"/>
      <c r="DE107" s="50"/>
      <c r="DF107" s="50"/>
      <c r="DG107" s="50"/>
      <c r="DH107" s="50"/>
      <c r="DI107" s="50"/>
      <c r="DJ107" s="50"/>
      <c r="DK107" s="50"/>
      <c r="DL107" s="50"/>
      <c r="DM107" s="50"/>
      <c r="DN107" s="50"/>
      <c r="DO107" s="50"/>
      <c r="DP107" s="50"/>
      <c r="DQ107" s="50"/>
      <c r="DR107" s="50"/>
      <c r="DS107" s="50"/>
      <c r="DT107" s="50"/>
      <c r="DU107" s="50"/>
      <c r="DV107" s="50"/>
      <c r="DW107" s="50"/>
      <c r="DX107" s="50"/>
      <c r="DY107" s="50"/>
      <c r="DZ107" s="50"/>
      <c r="EA107" s="50"/>
      <c r="EB107" s="50"/>
      <c r="EC107" s="50"/>
      <c r="ED107" s="50"/>
      <c r="EE107" s="50"/>
      <c r="EF107" s="50"/>
      <c r="EG107" s="50"/>
      <c r="EH107" s="50"/>
      <c r="EI107" s="50"/>
      <c r="EJ107" s="50"/>
      <c r="EK107" s="50"/>
      <c r="EL107" s="50"/>
      <c r="EM107" s="50"/>
      <c r="EN107" s="50"/>
      <c r="EO107" s="50"/>
      <c r="EP107" s="50"/>
      <c r="EQ107" s="50"/>
      <c r="ER107" s="50"/>
      <c r="ES107" s="50"/>
      <c r="ET107" s="50"/>
      <c r="EU107" s="50"/>
      <c r="EV107" s="50"/>
      <c r="EW107" s="50"/>
      <c r="EX107" s="50"/>
      <c r="EY107" s="50"/>
      <c r="EZ107" s="50"/>
      <c r="FA107" s="50"/>
      <c r="FB107" s="50"/>
      <c r="FC107" s="50"/>
      <c r="FD107" s="50"/>
      <c r="FE107" s="50"/>
      <c r="FF107" s="50"/>
      <c r="FG107" s="50"/>
      <c r="FH107" s="50"/>
      <c r="FI107" s="50"/>
      <c r="FJ107" s="50"/>
      <c r="FK107" s="50"/>
      <c r="FL107" s="50"/>
      <c r="FM107" s="50"/>
      <c r="FN107" s="50"/>
      <c r="FO107" s="50"/>
      <c r="FP107" s="50"/>
      <c r="FQ107" s="50"/>
      <c r="FR107" s="50"/>
      <c r="FS107" s="50"/>
      <c r="FT107" s="50"/>
      <c r="FU107" s="50"/>
      <c r="FV107" s="50"/>
      <c r="FW107" s="50"/>
      <c r="FX107" s="50"/>
      <c r="FY107" s="50"/>
      <c r="FZ107" s="50"/>
      <c r="GA107" s="50"/>
      <c r="GB107" s="50"/>
      <c r="GC107" s="50"/>
      <c r="GD107" s="50"/>
      <c r="GE107" s="50"/>
      <c r="GF107" s="50"/>
      <c r="GG107" s="50"/>
      <c r="GH107" s="50"/>
      <c r="GI107" s="50"/>
      <c r="GJ107" s="50"/>
      <c r="GK107" s="50"/>
      <c r="GL107" s="50"/>
      <c r="GM107" s="50"/>
      <c r="GN107" s="50"/>
      <c r="GO107" s="50"/>
      <c r="GP107" s="50"/>
      <c r="GQ107" s="50"/>
      <c r="GR107" s="50"/>
      <c r="GS107" s="50"/>
      <c r="GT107" s="50"/>
      <c r="GU107" s="50"/>
      <c r="GV107" s="50"/>
      <c r="GW107" s="50"/>
      <c r="GX107" s="50"/>
      <c r="GY107" s="50"/>
      <c r="GZ107" s="50"/>
      <c r="HA107" s="50"/>
    </row>
    <row r="108" s="51" customFormat="1" spans="1:209">
      <c r="A108" s="50"/>
      <c r="B108" s="50"/>
      <c r="C108" s="50"/>
      <c r="D108" s="50"/>
      <c r="E108" s="50"/>
      <c r="F108" s="50"/>
      <c r="G108" s="50"/>
      <c r="H108" s="58" t="s">
        <v>113</v>
      </c>
      <c r="I108" s="58" t="s">
        <v>340</v>
      </c>
      <c r="J108" s="59">
        <v>7279</v>
      </c>
      <c r="K108" s="59">
        <v>41067</v>
      </c>
      <c r="L108" s="59">
        <v>189794</v>
      </c>
      <c r="M108" s="59">
        <v>5251</v>
      </c>
      <c r="N108" s="59">
        <v>243391</v>
      </c>
      <c r="O108" s="63">
        <v>318346</v>
      </c>
      <c r="P108" s="63">
        <f t="shared" si="3"/>
        <v>74955</v>
      </c>
      <c r="Q108" s="50">
        <v>1</v>
      </c>
      <c r="R108" s="50">
        <v>1</v>
      </c>
      <c r="S108" s="69" t="s">
        <v>113</v>
      </c>
      <c r="T108" s="50"/>
      <c r="U108" s="52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50"/>
      <c r="CP108" s="50"/>
      <c r="CQ108" s="50"/>
      <c r="CR108" s="50"/>
      <c r="CS108" s="50"/>
      <c r="CT108" s="50"/>
      <c r="CU108" s="50"/>
      <c r="CV108" s="50"/>
      <c r="CW108" s="50"/>
      <c r="CX108" s="50"/>
      <c r="CY108" s="50"/>
      <c r="CZ108" s="50"/>
      <c r="DA108" s="50"/>
      <c r="DB108" s="50"/>
      <c r="DC108" s="50"/>
      <c r="DD108" s="50"/>
      <c r="DE108" s="50"/>
      <c r="DF108" s="50"/>
      <c r="DG108" s="50"/>
      <c r="DH108" s="50"/>
      <c r="DI108" s="50"/>
      <c r="DJ108" s="50"/>
      <c r="DK108" s="50"/>
      <c r="DL108" s="50"/>
      <c r="DM108" s="50"/>
      <c r="DN108" s="50"/>
      <c r="DO108" s="50"/>
      <c r="DP108" s="50"/>
      <c r="DQ108" s="50"/>
      <c r="DR108" s="50"/>
      <c r="DS108" s="50"/>
      <c r="DT108" s="50"/>
      <c r="DU108" s="50"/>
      <c r="DV108" s="50"/>
      <c r="DW108" s="50"/>
      <c r="DX108" s="50"/>
      <c r="DY108" s="50"/>
      <c r="DZ108" s="50"/>
      <c r="EA108" s="50"/>
      <c r="EB108" s="50"/>
      <c r="EC108" s="50"/>
      <c r="ED108" s="50"/>
      <c r="EE108" s="50"/>
      <c r="EF108" s="50"/>
      <c r="EG108" s="50"/>
      <c r="EH108" s="50"/>
      <c r="EI108" s="50"/>
      <c r="EJ108" s="50"/>
      <c r="EK108" s="50"/>
      <c r="EL108" s="50"/>
      <c r="EM108" s="50"/>
      <c r="EN108" s="50"/>
      <c r="EO108" s="50"/>
      <c r="EP108" s="50"/>
      <c r="EQ108" s="50"/>
      <c r="ER108" s="50"/>
      <c r="ES108" s="50"/>
      <c r="ET108" s="50"/>
      <c r="EU108" s="50"/>
      <c r="EV108" s="50"/>
      <c r="EW108" s="50"/>
      <c r="EX108" s="50"/>
      <c r="EY108" s="50"/>
      <c r="EZ108" s="50"/>
      <c r="FA108" s="50"/>
      <c r="FB108" s="50"/>
      <c r="FC108" s="50"/>
      <c r="FD108" s="50"/>
      <c r="FE108" s="50"/>
      <c r="FF108" s="50"/>
      <c r="FG108" s="50"/>
      <c r="FH108" s="50"/>
      <c r="FI108" s="50"/>
      <c r="FJ108" s="50"/>
      <c r="FK108" s="50"/>
      <c r="FL108" s="50"/>
      <c r="FM108" s="50"/>
      <c r="FN108" s="50"/>
      <c r="FO108" s="50"/>
      <c r="FP108" s="50"/>
      <c r="FQ108" s="50"/>
      <c r="FR108" s="50"/>
      <c r="FS108" s="50"/>
      <c r="FT108" s="50"/>
      <c r="FU108" s="50"/>
      <c r="FV108" s="50"/>
      <c r="FW108" s="50"/>
      <c r="FX108" s="50"/>
      <c r="FY108" s="50"/>
      <c r="FZ108" s="50"/>
      <c r="GA108" s="50"/>
      <c r="GB108" s="50"/>
      <c r="GC108" s="50"/>
      <c r="GD108" s="50"/>
      <c r="GE108" s="50"/>
      <c r="GF108" s="50"/>
      <c r="GG108" s="50"/>
      <c r="GH108" s="50"/>
      <c r="GI108" s="50"/>
      <c r="GJ108" s="50"/>
      <c r="GK108" s="50"/>
      <c r="GL108" s="50"/>
      <c r="GM108" s="50"/>
      <c r="GN108" s="50"/>
      <c r="GO108" s="50"/>
      <c r="GP108" s="50"/>
      <c r="GQ108" s="50"/>
      <c r="GR108" s="50"/>
      <c r="GS108" s="50"/>
      <c r="GT108" s="50"/>
      <c r="GU108" s="50"/>
      <c r="GV108" s="50"/>
      <c r="GW108" s="50"/>
      <c r="GX108" s="50"/>
      <c r="GY108" s="50"/>
      <c r="GZ108" s="50"/>
      <c r="HA108" s="50"/>
    </row>
    <row r="109" s="51" customFormat="1" spans="1:209">
      <c r="A109" s="50"/>
      <c r="B109" s="50"/>
      <c r="C109" s="50"/>
      <c r="D109" s="50"/>
      <c r="E109" s="50"/>
      <c r="F109" s="50"/>
      <c r="G109" s="50"/>
      <c r="H109" s="58" t="s">
        <v>113</v>
      </c>
      <c r="I109" s="58" t="s">
        <v>342</v>
      </c>
      <c r="J109" s="59">
        <v>9626</v>
      </c>
      <c r="K109" s="59">
        <v>50668</v>
      </c>
      <c r="L109" s="59">
        <v>233624</v>
      </c>
      <c r="M109" s="59">
        <v>3661</v>
      </c>
      <c r="N109" s="59">
        <v>297579</v>
      </c>
      <c r="O109" s="63">
        <v>349329</v>
      </c>
      <c r="P109" s="63">
        <f t="shared" si="3"/>
        <v>51750</v>
      </c>
      <c r="Q109" s="50">
        <v>1</v>
      </c>
      <c r="R109" s="50">
        <v>1</v>
      </c>
      <c r="S109" s="69" t="s">
        <v>113</v>
      </c>
      <c r="T109" s="50"/>
      <c r="U109" s="52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  <c r="CQ109" s="50"/>
      <c r="CR109" s="50"/>
      <c r="CS109" s="50"/>
      <c r="CT109" s="50"/>
      <c r="CU109" s="50"/>
      <c r="CV109" s="50"/>
      <c r="CW109" s="50"/>
      <c r="CX109" s="50"/>
      <c r="CY109" s="50"/>
      <c r="CZ109" s="50"/>
      <c r="DA109" s="50"/>
      <c r="DB109" s="50"/>
      <c r="DC109" s="50"/>
      <c r="DD109" s="50"/>
      <c r="DE109" s="50"/>
      <c r="DF109" s="50"/>
      <c r="DG109" s="50"/>
      <c r="DH109" s="50"/>
      <c r="DI109" s="50"/>
      <c r="DJ109" s="50"/>
      <c r="DK109" s="50"/>
      <c r="DL109" s="50"/>
      <c r="DM109" s="50"/>
      <c r="DN109" s="50"/>
      <c r="DO109" s="50"/>
      <c r="DP109" s="50"/>
      <c r="DQ109" s="50"/>
      <c r="DR109" s="50"/>
      <c r="DS109" s="50"/>
      <c r="DT109" s="50"/>
      <c r="DU109" s="50"/>
      <c r="DV109" s="50"/>
      <c r="DW109" s="50"/>
      <c r="DX109" s="50"/>
      <c r="DY109" s="50"/>
      <c r="DZ109" s="50"/>
      <c r="EA109" s="50"/>
      <c r="EB109" s="50"/>
      <c r="EC109" s="50"/>
      <c r="ED109" s="50"/>
      <c r="EE109" s="50"/>
      <c r="EF109" s="50"/>
      <c r="EG109" s="50"/>
      <c r="EH109" s="50"/>
      <c r="EI109" s="50"/>
      <c r="EJ109" s="50"/>
      <c r="EK109" s="50"/>
      <c r="EL109" s="50"/>
      <c r="EM109" s="50"/>
      <c r="EN109" s="50"/>
      <c r="EO109" s="50"/>
      <c r="EP109" s="50"/>
      <c r="EQ109" s="50"/>
      <c r="ER109" s="50"/>
      <c r="ES109" s="50"/>
      <c r="ET109" s="50"/>
      <c r="EU109" s="50"/>
      <c r="EV109" s="50"/>
      <c r="EW109" s="50"/>
      <c r="EX109" s="50"/>
      <c r="EY109" s="50"/>
      <c r="EZ109" s="50"/>
      <c r="FA109" s="50"/>
      <c r="FB109" s="50"/>
      <c r="FC109" s="50"/>
      <c r="FD109" s="50"/>
      <c r="FE109" s="50"/>
      <c r="FF109" s="50"/>
      <c r="FG109" s="50"/>
      <c r="FH109" s="50"/>
      <c r="FI109" s="50"/>
      <c r="FJ109" s="50"/>
      <c r="FK109" s="50"/>
      <c r="FL109" s="50"/>
      <c r="FM109" s="50"/>
      <c r="FN109" s="50"/>
      <c r="FO109" s="50"/>
      <c r="FP109" s="50"/>
      <c r="FQ109" s="50"/>
      <c r="FR109" s="50"/>
      <c r="FS109" s="50"/>
      <c r="FT109" s="50"/>
      <c r="FU109" s="50"/>
      <c r="FV109" s="50"/>
      <c r="FW109" s="50"/>
      <c r="FX109" s="50"/>
      <c r="FY109" s="50"/>
      <c r="FZ109" s="50"/>
      <c r="GA109" s="50"/>
      <c r="GB109" s="50"/>
      <c r="GC109" s="50"/>
      <c r="GD109" s="50"/>
      <c r="GE109" s="50"/>
      <c r="GF109" s="50"/>
      <c r="GG109" s="50"/>
      <c r="GH109" s="50"/>
      <c r="GI109" s="50"/>
      <c r="GJ109" s="50"/>
      <c r="GK109" s="50"/>
      <c r="GL109" s="50"/>
      <c r="GM109" s="50"/>
      <c r="GN109" s="50"/>
      <c r="GO109" s="50"/>
      <c r="GP109" s="50"/>
      <c r="GQ109" s="50"/>
      <c r="GR109" s="50"/>
      <c r="GS109" s="50"/>
      <c r="GT109" s="50"/>
      <c r="GU109" s="50"/>
      <c r="GV109" s="50"/>
      <c r="GW109" s="50"/>
      <c r="GX109" s="50"/>
      <c r="GY109" s="50"/>
      <c r="GZ109" s="50"/>
      <c r="HA109" s="50"/>
    </row>
    <row r="110" s="51" customFormat="1" spans="1:209">
      <c r="A110" s="50"/>
      <c r="B110" s="50"/>
      <c r="C110" s="50"/>
      <c r="D110" s="50"/>
      <c r="E110" s="50"/>
      <c r="F110" s="50"/>
      <c r="G110" s="50"/>
      <c r="H110" s="58" t="s">
        <v>113</v>
      </c>
      <c r="I110" s="58" t="s">
        <v>344</v>
      </c>
      <c r="J110" s="59">
        <v>4602</v>
      </c>
      <c r="K110" s="59">
        <v>27519</v>
      </c>
      <c r="L110" s="59">
        <v>128549</v>
      </c>
      <c r="M110" s="59">
        <v>4212</v>
      </c>
      <c r="N110" s="59">
        <v>164882</v>
      </c>
      <c r="O110" s="63">
        <v>176812</v>
      </c>
      <c r="P110" s="63">
        <f t="shared" si="3"/>
        <v>11930</v>
      </c>
      <c r="Q110" s="50">
        <v>1</v>
      </c>
      <c r="R110" s="50">
        <v>1</v>
      </c>
      <c r="S110" s="69" t="s">
        <v>113</v>
      </c>
      <c r="T110" s="50"/>
      <c r="U110" s="52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50"/>
      <c r="BZ110" s="50"/>
      <c r="CA110" s="50"/>
      <c r="CB110" s="50"/>
      <c r="CC110" s="50"/>
      <c r="CD110" s="50"/>
      <c r="CE110" s="50"/>
      <c r="CF110" s="50"/>
      <c r="CG110" s="50"/>
      <c r="CH110" s="50"/>
      <c r="CI110" s="50"/>
      <c r="CJ110" s="50"/>
      <c r="CK110" s="50"/>
      <c r="CL110" s="50"/>
      <c r="CM110" s="50"/>
      <c r="CN110" s="50"/>
      <c r="CO110" s="50"/>
      <c r="CP110" s="50"/>
      <c r="CQ110" s="50"/>
      <c r="CR110" s="50"/>
      <c r="CS110" s="50"/>
      <c r="CT110" s="50"/>
      <c r="CU110" s="50"/>
      <c r="CV110" s="50"/>
      <c r="CW110" s="50"/>
      <c r="CX110" s="50"/>
      <c r="CY110" s="50"/>
      <c r="CZ110" s="50"/>
      <c r="DA110" s="50"/>
      <c r="DB110" s="50"/>
      <c r="DC110" s="50"/>
      <c r="DD110" s="50"/>
      <c r="DE110" s="50"/>
      <c r="DF110" s="50"/>
      <c r="DG110" s="50"/>
      <c r="DH110" s="50"/>
      <c r="DI110" s="50"/>
      <c r="DJ110" s="50"/>
      <c r="DK110" s="50"/>
      <c r="DL110" s="50"/>
      <c r="DM110" s="50"/>
      <c r="DN110" s="50"/>
      <c r="DO110" s="50"/>
      <c r="DP110" s="50"/>
      <c r="DQ110" s="50"/>
      <c r="DR110" s="50"/>
      <c r="DS110" s="50"/>
      <c r="DT110" s="50"/>
      <c r="DU110" s="50"/>
      <c r="DV110" s="50"/>
      <c r="DW110" s="50"/>
      <c r="DX110" s="50"/>
      <c r="DY110" s="50"/>
      <c r="DZ110" s="50"/>
      <c r="EA110" s="50"/>
      <c r="EB110" s="50"/>
      <c r="EC110" s="50"/>
      <c r="ED110" s="50"/>
      <c r="EE110" s="50"/>
      <c r="EF110" s="50"/>
      <c r="EG110" s="50"/>
      <c r="EH110" s="50"/>
      <c r="EI110" s="50"/>
      <c r="EJ110" s="50"/>
      <c r="EK110" s="50"/>
      <c r="EL110" s="50"/>
      <c r="EM110" s="50"/>
      <c r="EN110" s="50"/>
      <c r="EO110" s="50"/>
      <c r="EP110" s="50"/>
      <c r="EQ110" s="50"/>
      <c r="ER110" s="50"/>
      <c r="ES110" s="50"/>
      <c r="ET110" s="50"/>
      <c r="EU110" s="50"/>
      <c r="EV110" s="50"/>
      <c r="EW110" s="50"/>
      <c r="EX110" s="50"/>
      <c r="EY110" s="50"/>
      <c r="EZ110" s="50"/>
      <c r="FA110" s="50"/>
      <c r="FB110" s="50"/>
      <c r="FC110" s="50"/>
      <c r="FD110" s="50"/>
      <c r="FE110" s="50"/>
      <c r="FF110" s="50"/>
      <c r="FG110" s="50"/>
      <c r="FH110" s="50"/>
      <c r="FI110" s="50"/>
      <c r="FJ110" s="50"/>
      <c r="FK110" s="50"/>
      <c r="FL110" s="50"/>
      <c r="FM110" s="50"/>
      <c r="FN110" s="50"/>
      <c r="FO110" s="50"/>
      <c r="FP110" s="50"/>
      <c r="FQ110" s="50"/>
      <c r="FR110" s="50"/>
      <c r="FS110" s="50"/>
      <c r="FT110" s="50"/>
      <c r="FU110" s="50"/>
      <c r="FV110" s="50"/>
      <c r="FW110" s="50"/>
      <c r="FX110" s="50"/>
      <c r="FY110" s="50"/>
      <c r="FZ110" s="50"/>
      <c r="GA110" s="50"/>
      <c r="GB110" s="50"/>
      <c r="GC110" s="50"/>
      <c r="GD110" s="50"/>
      <c r="GE110" s="50"/>
      <c r="GF110" s="50"/>
      <c r="GG110" s="50"/>
      <c r="GH110" s="50"/>
      <c r="GI110" s="50"/>
      <c r="GJ110" s="50"/>
      <c r="GK110" s="50"/>
      <c r="GL110" s="50"/>
      <c r="GM110" s="50"/>
      <c r="GN110" s="50"/>
      <c r="GO110" s="50"/>
      <c r="GP110" s="50"/>
      <c r="GQ110" s="50"/>
      <c r="GR110" s="50"/>
      <c r="GS110" s="50"/>
      <c r="GT110" s="50"/>
      <c r="GU110" s="50"/>
      <c r="GV110" s="50"/>
      <c r="GW110" s="50"/>
      <c r="GX110" s="50"/>
      <c r="GY110" s="50"/>
      <c r="GZ110" s="50"/>
      <c r="HA110" s="50"/>
    </row>
    <row r="111" s="51" customFormat="1" spans="1:209">
      <c r="A111" s="50"/>
      <c r="B111" s="50"/>
      <c r="C111" s="50"/>
      <c r="D111" s="50"/>
      <c r="E111" s="50"/>
      <c r="F111" s="50"/>
      <c r="G111" s="50"/>
      <c r="H111" s="58" t="s">
        <v>113</v>
      </c>
      <c r="I111" s="58" t="s">
        <v>346</v>
      </c>
      <c r="J111" s="59">
        <v>5843</v>
      </c>
      <c r="K111" s="59">
        <v>28003</v>
      </c>
      <c r="L111" s="59">
        <v>133717</v>
      </c>
      <c r="M111" s="59">
        <v>2360</v>
      </c>
      <c r="N111" s="59">
        <v>169923</v>
      </c>
      <c r="O111" s="63">
        <v>207762</v>
      </c>
      <c r="P111" s="63">
        <f t="shared" si="3"/>
        <v>37839</v>
      </c>
      <c r="Q111" s="50">
        <v>1</v>
      </c>
      <c r="R111" s="50">
        <v>1</v>
      </c>
      <c r="S111" s="69" t="s">
        <v>113</v>
      </c>
      <c r="T111" s="50"/>
      <c r="U111" s="52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  <c r="CW111" s="50"/>
      <c r="CX111" s="50"/>
      <c r="CY111" s="50"/>
      <c r="CZ111" s="50"/>
      <c r="DA111" s="50"/>
      <c r="DB111" s="50"/>
      <c r="DC111" s="50"/>
      <c r="DD111" s="50"/>
      <c r="DE111" s="50"/>
      <c r="DF111" s="50"/>
      <c r="DG111" s="50"/>
      <c r="DH111" s="50"/>
      <c r="DI111" s="50"/>
      <c r="DJ111" s="50"/>
      <c r="DK111" s="50"/>
      <c r="DL111" s="50"/>
      <c r="DM111" s="50"/>
      <c r="DN111" s="50"/>
      <c r="DO111" s="50"/>
      <c r="DP111" s="50"/>
      <c r="DQ111" s="50"/>
      <c r="DR111" s="50"/>
      <c r="DS111" s="50"/>
      <c r="DT111" s="50"/>
      <c r="DU111" s="50"/>
      <c r="DV111" s="50"/>
      <c r="DW111" s="50"/>
      <c r="DX111" s="50"/>
      <c r="DY111" s="50"/>
      <c r="DZ111" s="50"/>
      <c r="EA111" s="50"/>
      <c r="EB111" s="50"/>
      <c r="EC111" s="50"/>
      <c r="ED111" s="50"/>
      <c r="EE111" s="50"/>
      <c r="EF111" s="50"/>
      <c r="EG111" s="50"/>
      <c r="EH111" s="50"/>
      <c r="EI111" s="50"/>
      <c r="EJ111" s="50"/>
      <c r="EK111" s="50"/>
      <c r="EL111" s="50"/>
      <c r="EM111" s="50"/>
      <c r="EN111" s="50"/>
      <c r="EO111" s="50"/>
      <c r="EP111" s="50"/>
      <c r="EQ111" s="50"/>
      <c r="ER111" s="50"/>
      <c r="ES111" s="50"/>
      <c r="ET111" s="50"/>
      <c r="EU111" s="50"/>
      <c r="EV111" s="50"/>
      <c r="EW111" s="50"/>
      <c r="EX111" s="50"/>
      <c r="EY111" s="50"/>
      <c r="EZ111" s="50"/>
      <c r="FA111" s="50"/>
      <c r="FB111" s="50"/>
      <c r="FC111" s="50"/>
      <c r="FD111" s="50"/>
      <c r="FE111" s="50"/>
      <c r="FF111" s="50"/>
      <c r="FG111" s="50"/>
      <c r="FH111" s="50"/>
      <c r="FI111" s="50"/>
      <c r="FJ111" s="50"/>
      <c r="FK111" s="50"/>
      <c r="FL111" s="50"/>
      <c r="FM111" s="50"/>
      <c r="FN111" s="50"/>
      <c r="FO111" s="50"/>
      <c r="FP111" s="50"/>
      <c r="FQ111" s="50"/>
      <c r="FR111" s="50"/>
      <c r="FS111" s="50"/>
      <c r="FT111" s="50"/>
      <c r="FU111" s="50"/>
      <c r="FV111" s="50"/>
      <c r="FW111" s="50"/>
      <c r="FX111" s="50"/>
      <c r="FY111" s="50"/>
      <c r="FZ111" s="50"/>
      <c r="GA111" s="50"/>
      <c r="GB111" s="50"/>
      <c r="GC111" s="50"/>
      <c r="GD111" s="50"/>
      <c r="GE111" s="50"/>
      <c r="GF111" s="50"/>
      <c r="GG111" s="50"/>
      <c r="GH111" s="50"/>
      <c r="GI111" s="50"/>
      <c r="GJ111" s="50"/>
      <c r="GK111" s="50"/>
      <c r="GL111" s="50"/>
      <c r="GM111" s="50"/>
      <c r="GN111" s="50"/>
      <c r="GO111" s="50"/>
      <c r="GP111" s="50"/>
      <c r="GQ111" s="50"/>
      <c r="GR111" s="50"/>
      <c r="GS111" s="50"/>
      <c r="GT111" s="50"/>
      <c r="GU111" s="50"/>
      <c r="GV111" s="50"/>
      <c r="GW111" s="50"/>
      <c r="GX111" s="50"/>
      <c r="GY111" s="50"/>
      <c r="GZ111" s="50"/>
      <c r="HA111" s="50"/>
    </row>
    <row r="112" s="51" customFormat="1" spans="1:209">
      <c r="A112" s="50"/>
      <c r="B112" s="50"/>
      <c r="C112" s="50"/>
      <c r="D112" s="50"/>
      <c r="E112" s="50"/>
      <c r="F112" s="50"/>
      <c r="G112" s="50"/>
      <c r="H112" s="58" t="s">
        <v>113</v>
      </c>
      <c r="I112" s="58" t="s">
        <v>347</v>
      </c>
      <c r="J112" s="59">
        <v>6350</v>
      </c>
      <c r="K112" s="59">
        <v>37463</v>
      </c>
      <c r="L112" s="59">
        <v>165564</v>
      </c>
      <c r="M112" s="59">
        <v>4856</v>
      </c>
      <c r="N112" s="59">
        <v>214233</v>
      </c>
      <c r="O112" s="63">
        <v>214716</v>
      </c>
      <c r="P112" s="63">
        <f t="shared" si="3"/>
        <v>483</v>
      </c>
      <c r="Q112" s="50">
        <v>1</v>
      </c>
      <c r="R112" s="50">
        <v>1</v>
      </c>
      <c r="S112" s="69" t="s">
        <v>113</v>
      </c>
      <c r="T112" s="50"/>
      <c r="U112" s="52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0"/>
      <c r="BY112" s="50"/>
      <c r="BZ112" s="50"/>
      <c r="CA112" s="50"/>
      <c r="CB112" s="50"/>
      <c r="CC112" s="50"/>
      <c r="CD112" s="50"/>
      <c r="CE112" s="50"/>
      <c r="CF112" s="50"/>
      <c r="CG112" s="50"/>
      <c r="CH112" s="50"/>
      <c r="CI112" s="50"/>
      <c r="CJ112" s="50"/>
      <c r="CK112" s="50"/>
      <c r="CL112" s="50"/>
      <c r="CM112" s="50"/>
      <c r="CN112" s="50"/>
      <c r="CO112" s="50"/>
      <c r="CP112" s="50"/>
      <c r="CQ112" s="50"/>
      <c r="CR112" s="50"/>
      <c r="CS112" s="50"/>
      <c r="CT112" s="50"/>
      <c r="CU112" s="50"/>
      <c r="CV112" s="50"/>
      <c r="CW112" s="50"/>
      <c r="CX112" s="50"/>
      <c r="CY112" s="50"/>
      <c r="CZ112" s="50"/>
      <c r="DA112" s="50"/>
      <c r="DB112" s="50"/>
      <c r="DC112" s="50"/>
      <c r="DD112" s="50"/>
      <c r="DE112" s="50"/>
      <c r="DF112" s="50"/>
      <c r="DG112" s="50"/>
      <c r="DH112" s="50"/>
      <c r="DI112" s="50"/>
      <c r="DJ112" s="50"/>
      <c r="DK112" s="50"/>
      <c r="DL112" s="50"/>
      <c r="DM112" s="50"/>
      <c r="DN112" s="50"/>
      <c r="DO112" s="50"/>
      <c r="DP112" s="50"/>
      <c r="DQ112" s="50"/>
      <c r="DR112" s="50"/>
      <c r="DS112" s="50"/>
      <c r="DT112" s="50"/>
      <c r="DU112" s="50"/>
      <c r="DV112" s="50"/>
      <c r="DW112" s="50"/>
      <c r="DX112" s="50"/>
      <c r="DY112" s="50"/>
      <c r="DZ112" s="50"/>
      <c r="EA112" s="50"/>
      <c r="EB112" s="50"/>
      <c r="EC112" s="50"/>
      <c r="ED112" s="50"/>
      <c r="EE112" s="50"/>
      <c r="EF112" s="50"/>
      <c r="EG112" s="50"/>
      <c r="EH112" s="50"/>
      <c r="EI112" s="50"/>
      <c r="EJ112" s="50"/>
      <c r="EK112" s="50"/>
      <c r="EL112" s="50"/>
      <c r="EM112" s="50"/>
      <c r="EN112" s="50"/>
      <c r="EO112" s="50"/>
      <c r="EP112" s="50"/>
      <c r="EQ112" s="50"/>
      <c r="ER112" s="50"/>
      <c r="ES112" s="50"/>
      <c r="ET112" s="50"/>
      <c r="EU112" s="50"/>
      <c r="EV112" s="50"/>
      <c r="EW112" s="50"/>
      <c r="EX112" s="50"/>
      <c r="EY112" s="50"/>
      <c r="EZ112" s="50"/>
      <c r="FA112" s="50"/>
      <c r="FB112" s="50"/>
      <c r="FC112" s="50"/>
      <c r="FD112" s="50"/>
      <c r="FE112" s="50"/>
      <c r="FF112" s="50"/>
      <c r="FG112" s="50"/>
      <c r="FH112" s="50"/>
      <c r="FI112" s="50"/>
      <c r="FJ112" s="50"/>
      <c r="FK112" s="50"/>
      <c r="FL112" s="50"/>
      <c r="FM112" s="50"/>
      <c r="FN112" s="50"/>
      <c r="FO112" s="50"/>
      <c r="FP112" s="50"/>
      <c r="FQ112" s="50"/>
      <c r="FR112" s="50"/>
      <c r="FS112" s="50"/>
      <c r="FT112" s="50"/>
      <c r="FU112" s="50"/>
      <c r="FV112" s="50"/>
      <c r="FW112" s="50"/>
      <c r="FX112" s="50"/>
      <c r="FY112" s="50"/>
      <c r="FZ112" s="50"/>
      <c r="GA112" s="50"/>
      <c r="GB112" s="50"/>
      <c r="GC112" s="50"/>
      <c r="GD112" s="50"/>
      <c r="GE112" s="50"/>
      <c r="GF112" s="50"/>
      <c r="GG112" s="50"/>
      <c r="GH112" s="50"/>
      <c r="GI112" s="50"/>
      <c r="GJ112" s="50"/>
      <c r="GK112" s="50"/>
      <c r="GL112" s="50"/>
      <c r="GM112" s="50"/>
      <c r="GN112" s="50"/>
      <c r="GO112" s="50"/>
      <c r="GP112" s="50"/>
      <c r="GQ112" s="50"/>
      <c r="GR112" s="50"/>
      <c r="GS112" s="50"/>
      <c r="GT112" s="50"/>
      <c r="GU112" s="50"/>
      <c r="GV112" s="50"/>
      <c r="GW112" s="50"/>
      <c r="GX112" s="50"/>
      <c r="GY112" s="50"/>
      <c r="GZ112" s="50"/>
      <c r="HA112" s="50"/>
    </row>
    <row r="113" s="51" customFormat="1" spans="1:209">
      <c r="A113" s="50"/>
      <c r="B113" s="50"/>
      <c r="C113" s="50"/>
      <c r="D113" s="50"/>
      <c r="E113" s="50"/>
      <c r="F113" s="50"/>
      <c r="G113" s="50"/>
      <c r="H113" s="58" t="s">
        <v>253</v>
      </c>
      <c r="I113" s="58" t="s">
        <v>367</v>
      </c>
      <c r="J113" s="59">
        <v>33750</v>
      </c>
      <c r="K113" s="59">
        <v>231098</v>
      </c>
      <c r="L113" s="59">
        <v>1034621</v>
      </c>
      <c r="M113" s="59">
        <v>17053</v>
      </c>
      <c r="N113" s="59">
        <v>1316522</v>
      </c>
      <c r="O113" s="63">
        <v>1019663</v>
      </c>
      <c r="P113" s="63">
        <f t="shared" si="3"/>
        <v>-296859</v>
      </c>
      <c r="Q113" s="50"/>
      <c r="R113" s="50"/>
      <c r="S113" s="69" t="s">
        <v>253</v>
      </c>
      <c r="T113" s="50"/>
      <c r="U113" s="52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0"/>
      <c r="BY113" s="50"/>
      <c r="BZ113" s="50"/>
      <c r="CA113" s="50"/>
      <c r="CB113" s="50"/>
      <c r="CC113" s="50"/>
      <c r="CD113" s="50"/>
      <c r="CE113" s="50"/>
      <c r="CF113" s="50"/>
      <c r="CG113" s="50"/>
      <c r="CH113" s="50"/>
      <c r="CI113" s="50"/>
      <c r="CJ113" s="50"/>
      <c r="CK113" s="50"/>
      <c r="CL113" s="50"/>
      <c r="CM113" s="50"/>
      <c r="CN113" s="50"/>
      <c r="CO113" s="50"/>
      <c r="CP113" s="50"/>
      <c r="CQ113" s="50"/>
      <c r="CR113" s="50"/>
      <c r="CS113" s="50"/>
      <c r="CT113" s="50"/>
      <c r="CU113" s="50"/>
      <c r="CV113" s="50"/>
      <c r="CW113" s="50"/>
      <c r="CX113" s="50"/>
      <c r="CY113" s="50"/>
      <c r="CZ113" s="50"/>
      <c r="DA113" s="50"/>
      <c r="DB113" s="50"/>
      <c r="DC113" s="50"/>
      <c r="DD113" s="50"/>
      <c r="DE113" s="50"/>
      <c r="DF113" s="50"/>
      <c r="DG113" s="50"/>
      <c r="DH113" s="50"/>
      <c r="DI113" s="50"/>
      <c r="DJ113" s="50"/>
      <c r="DK113" s="50"/>
      <c r="DL113" s="50"/>
      <c r="DM113" s="50"/>
      <c r="DN113" s="50"/>
      <c r="DO113" s="50"/>
      <c r="DP113" s="50"/>
      <c r="DQ113" s="50"/>
      <c r="DR113" s="50"/>
      <c r="DS113" s="50"/>
      <c r="DT113" s="50"/>
      <c r="DU113" s="50"/>
      <c r="DV113" s="50"/>
      <c r="DW113" s="50"/>
      <c r="DX113" s="50"/>
      <c r="DY113" s="50"/>
      <c r="DZ113" s="50"/>
      <c r="EA113" s="50"/>
      <c r="EB113" s="50"/>
      <c r="EC113" s="50"/>
      <c r="ED113" s="50"/>
      <c r="EE113" s="50"/>
      <c r="EF113" s="50"/>
      <c r="EG113" s="50"/>
      <c r="EH113" s="50"/>
      <c r="EI113" s="50"/>
      <c r="EJ113" s="50"/>
      <c r="EK113" s="50"/>
      <c r="EL113" s="50"/>
      <c r="EM113" s="50"/>
      <c r="EN113" s="50"/>
      <c r="EO113" s="50"/>
      <c r="EP113" s="50"/>
      <c r="EQ113" s="50"/>
      <c r="ER113" s="50"/>
      <c r="ES113" s="50"/>
      <c r="ET113" s="50"/>
      <c r="EU113" s="50"/>
      <c r="EV113" s="50"/>
      <c r="EW113" s="50"/>
      <c r="EX113" s="50"/>
      <c r="EY113" s="50"/>
      <c r="EZ113" s="50"/>
      <c r="FA113" s="50"/>
      <c r="FB113" s="50"/>
      <c r="FC113" s="50"/>
      <c r="FD113" s="50"/>
      <c r="FE113" s="50"/>
      <c r="FF113" s="50"/>
      <c r="FG113" s="50"/>
      <c r="FH113" s="50"/>
      <c r="FI113" s="50"/>
      <c r="FJ113" s="50"/>
      <c r="FK113" s="50"/>
      <c r="FL113" s="50"/>
      <c r="FM113" s="50"/>
      <c r="FN113" s="50"/>
      <c r="FO113" s="50"/>
      <c r="FP113" s="50"/>
      <c r="FQ113" s="50"/>
      <c r="FR113" s="50"/>
      <c r="FS113" s="50"/>
      <c r="FT113" s="50"/>
      <c r="FU113" s="50"/>
      <c r="FV113" s="50"/>
      <c r="FW113" s="50"/>
      <c r="FX113" s="50"/>
      <c r="FY113" s="50"/>
      <c r="FZ113" s="50"/>
      <c r="GA113" s="50"/>
      <c r="GB113" s="50"/>
      <c r="GC113" s="50"/>
      <c r="GD113" s="50"/>
      <c r="GE113" s="50"/>
      <c r="GF113" s="50"/>
      <c r="GG113" s="50"/>
      <c r="GH113" s="50"/>
      <c r="GI113" s="50"/>
      <c r="GJ113" s="50"/>
      <c r="GK113" s="50"/>
      <c r="GL113" s="50"/>
      <c r="GM113" s="50"/>
      <c r="GN113" s="50"/>
      <c r="GO113" s="50"/>
      <c r="GP113" s="50"/>
      <c r="GQ113" s="50"/>
      <c r="GR113" s="50"/>
      <c r="GS113" s="50"/>
      <c r="GT113" s="50"/>
      <c r="GU113" s="50"/>
      <c r="GV113" s="50"/>
      <c r="GW113" s="50"/>
      <c r="GX113" s="50"/>
      <c r="GY113" s="50"/>
      <c r="GZ113" s="50"/>
      <c r="HA113" s="50"/>
    </row>
    <row r="114" s="51" customFormat="1" spans="1:209">
      <c r="A114" s="50"/>
      <c r="B114" s="50"/>
      <c r="C114" s="50"/>
      <c r="D114" s="50"/>
      <c r="E114" s="50"/>
      <c r="F114" s="50"/>
      <c r="G114" s="50"/>
      <c r="H114" s="58" t="s">
        <v>253</v>
      </c>
      <c r="I114" s="58" t="s">
        <v>368</v>
      </c>
      <c r="J114" s="59">
        <v>126452</v>
      </c>
      <c r="K114" s="59">
        <v>641382</v>
      </c>
      <c r="L114" s="59">
        <v>2594870</v>
      </c>
      <c r="M114" s="59">
        <v>36722</v>
      </c>
      <c r="N114" s="59">
        <v>3399426</v>
      </c>
      <c r="O114" s="63">
        <v>2802607</v>
      </c>
      <c r="P114" s="63">
        <f t="shared" si="3"/>
        <v>-596819</v>
      </c>
      <c r="Q114" s="50"/>
      <c r="R114" s="50"/>
      <c r="S114" s="69" t="s">
        <v>253</v>
      </c>
      <c r="T114" s="50"/>
      <c r="U114" s="52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  <c r="CM114" s="50"/>
      <c r="CN114" s="50"/>
      <c r="CO114" s="50"/>
      <c r="CP114" s="50"/>
      <c r="CQ114" s="50"/>
      <c r="CR114" s="50"/>
      <c r="CS114" s="50"/>
      <c r="CT114" s="50"/>
      <c r="CU114" s="50"/>
      <c r="CV114" s="50"/>
      <c r="CW114" s="50"/>
      <c r="CX114" s="50"/>
      <c r="CY114" s="50"/>
      <c r="CZ114" s="50"/>
      <c r="DA114" s="50"/>
      <c r="DB114" s="50"/>
      <c r="DC114" s="50"/>
      <c r="DD114" s="50"/>
      <c r="DE114" s="50"/>
      <c r="DF114" s="50"/>
      <c r="DG114" s="50"/>
      <c r="DH114" s="50"/>
      <c r="DI114" s="50"/>
      <c r="DJ114" s="50"/>
      <c r="DK114" s="50"/>
      <c r="DL114" s="50"/>
      <c r="DM114" s="50"/>
      <c r="DN114" s="50"/>
      <c r="DO114" s="50"/>
      <c r="DP114" s="50"/>
      <c r="DQ114" s="50"/>
      <c r="DR114" s="50"/>
      <c r="DS114" s="50"/>
      <c r="DT114" s="50"/>
      <c r="DU114" s="50"/>
      <c r="DV114" s="50"/>
      <c r="DW114" s="50"/>
      <c r="DX114" s="50"/>
      <c r="DY114" s="50"/>
      <c r="DZ114" s="50"/>
      <c r="EA114" s="50"/>
      <c r="EB114" s="50"/>
      <c r="EC114" s="50"/>
      <c r="ED114" s="50"/>
      <c r="EE114" s="50"/>
      <c r="EF114" s="50"/>
      <c r="EG114" s="50"/>
      <c r="EH114" s="50"/>
      <c r="EI114" s="50"/>
      <c r="EJ114" s="50"/>
      <c r="EK114" s="50"/>
      <c r="EL114" s="50"/>
      <c r="EM114" s="50"/>
      <c r="EN114" s="50"/>
      <c r="EO114" s="50"/>
      <c r="EP114" s="50"/>
      <c r="EQ114" s="50"/>
      <c r="ER114" s="50"/>
      <c r="ES114" s="50"/>
      <c r="ET114" s="50"/>
      <c r="EU114" s="50"/>
      <c r="EV114" s="50"/>
      <c r="EW114" s="50"/>
      <c r="EX114" s="50"/>
      <c r="EY114" s="50"/>
      <c r="EZ114" s="50"/>
      <c r="FA114" s="50"/>
      <c r="FB114" s="50"/>
      <c r="FC114" s="50"/>
      <c r="FD114" s="50"/>
      <c r="FE114" s="50"/>
      <c r="FF114" s="50"/>
      <c r="FG114" s="50"/>
      <c r="FH114" s="50"/>
      <c r="FI114" s="50"/>
      <c r="FJ114" s="50"/>
      <c r="FK114" s="50"/>
      <c r="FL114" s="50"/>
      <c r="FM114" s="50"/>
      <c r="FN114" s="50"/>
      <c r="FO114" s="50"/>
      <c r="FP114" s="50"/>
      <c r="FQ114" s="50"/>
      <c r="FR114" s="50"/>
      <c r="FS114" s="50"/>
      <c r="FT114" s="50"/>
      <c r="FU114" s="50"/>
      <c r="FV114" s="50"/>
      <c r="FW114" s="50"/>
      <c r="FX114" s="50"/>
      <c r="FY114" s="50"/>
      <c r="FZ114" s="50"/>
      <c r="GA114" s="50"/>
      <c r="GB114" s="50"/>
      <c r="GC114" s="50"/>
      <c r="GD114" s="50"/>
      <c r="GE114" s="50"/>
      <c r="GF114" s="50"/>
      <c r="GG114" s="50"/>
      <c r="GH114" s="50"/>
      <c r="GI114" s="50"/>
      <c r="GJ114" s="50"/>
      <c r="GK114" s="50"/>
      <c r="GL114" s="50"/>
      <c r="GM114" s="50"/>
      <c r="GN114" s="50"/>
      <c r="GO114" s="50"/>
      <c r="GP114" s="50"/>
      <c r="GQ114" s="50"/>
      <c r="GR114" s="50"/>
      <c r="GS114" s="50"/>
      <c r="GT114" s="50"/>
      <c r="GU114" s="50"/>
      <c r="GV114" s="50"/>
      <c r="GW114" s="50"/>
      <c r="GX114" s="50"/>
      <c r="GY114" s="50"/>
      <c r="GZ114" s="50"/>
      <c r="HA114" s="50"/>
    </row>
    <row r="115" s="51" customFormat="1" spans="1:209">
      <c r="A115" s="50"/>
      <c r="B115" s="50"/>
      <c r="C115" s="50"/>
      <c r="D115" s="50"/>
      <c r="E115" s="50"/>
      <c r="F115" s="50"/>
      <c r="G115" s="50"/>
      <c r="H115" s="58" t="s">
        <v>253</v>
      </c>
      <c r="I115" s="58" t="s">
        <v>369</v>
      </c>
      <c r="J115" s="59">
        <v>89078</v>
      </c>
      <c r="K115" s="59">
        <v>495761</v>
      </c>
      <c r="L115" s="59">
        <v>2399554</v>
      </c>
      <c r="M115" s="59">
        <v>43809</v>
      </c>
      <c r="N115" s="59">
        <v>3028202</v>
      </c>
      <c r="O115" s="63">
        <v>2467701</v>
      </c>
      <c r="P115" s="63">
        <f t="shared" si="3"/>
        <v>-560501</v>
      </c>
      <c r="Q115" s="50"/>
      <c r="R115" s="50"/>
      <c r="S115" s="69" t="s">
        <v>253</v>
      </c>
      <c r="T115" s="50"/>
      <c r="U115" s="52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  <c r="CB115" s="50"/>
      <c r="CC115" s="50"/>
      <c r="CD115" s="50"/>
      <c r="CE115" s="50"/>
      <c r="CF115" s="50"/>
      <c r="CG115" s="50"/>
      <c r="CH115" s="50"/>
      <c r="CI115" s="50"/>
      <c r="CJ115" s="50"/>
      <c r="CK115" s="50"/>
      <c r="CL115" s="50"/>
      <c r="CM115" s="50"/>
      <c r="CN115" s="50"/>
      <c r="CO115" s="50"/>
      <c r="CP115" s="50"/>
      <c r="CQ115" s="50"/>
      <c r="CR115" s="50"/>
      <c r="CS115" s="50"/>
      <c r="CT115" s="50"/>
      <c r="CU115" s="50"/>
      <c r="CV115" s="50"/>
      <c r="CW115" s="50"/>
      <c r="CX115" s="50"/>
      <c r="CY115" s="50"/>
      <c r="CZ115" s="50"/>
      <c r="DA115" s="50"/>
      <c r="DB115" s="50"/>
      <c r="DC115" s="50"/>
      <c r="DD115" s="50"/>
      <c r="DE115" s="50"/>
      <c r="DF115" s="50"/>
      <c r="DG115" s="50"/>
      <c r="DH115" s="50"/>
      <c r="DI115" s="50"/>
      <c r="DJ115" s="50"/>
      <c r="DK115" s="50"/>
      <c r="DL115" s="50"/>
      <c r="DM115" s="50"/>
      <c r="DN115" s="50"/>
      <c r="DO115" s="50"/>
      <c r="DP115" s="50"/>
      <c r="DQ115" s="50"/>
      <c r="DR115" s="50"/>
      <c r="DS115" s="50"/>
      <c r="DT115" s="50"/>
      <c r="DU115" s="50"/>
      <c r="DV115" s="50"/>
      <c r="DW115" s="50"/>
      <c r="DX115" s="50"/>
      <c r="DY115" s="50"/>
      <c r="DZ115" s="50"/>
      <c r="EA115" s="50"/>
      <c r="EB115" s="50"/>
      <c r="EC115" s="50"/>
      <c r="ED115" s="50"/>
      <c r="EE115" s="50"/>
      <c r="EF115" s="50"/>
      <c r="EG115" s="50"/>
      <c r="EH115" s="50"/>
      <c r="EI115" s="50"/>
      <c r="EJ115" s="50"/>
      <c r="EK115" s="50"/>
      <c r="EL115" s="50"/>
      <c r="EM115" s="50"/>
      <c r="EN115" s="50"/>
      <c r="EO115" s="50"/>
      <c r="EP115" s="50"/>
      <c r="EQ115" s="50"/>
      <c r="ER115" s="50"/>
      <c r="ES115" s="50"/>
      <c r="ET115" s="50"/>
      <c r="EU115" s="50"/>
      <c r="EV115" s="50"/>
      <c r="EW115" s="50"/>
      <c r="EX115" s="50"/>
      <c r="EY115" s="50"/>
      <c r="EZ115" s="50"/>
      <c r="FA115" s="50"/>
      <c r="FB115" s="50"/>
      <c r="FC115" s="50"/>
      <c r="FD115" s="50"/>
      <c r="FE115" s="50"/>
      <c r="FF115" s="50"/>
      <c r="FG115" s="50"/>
      <c r="FH115" s="50"/>
      <c r="FI115" s="50"/>
      <c r="FJ115" s="50"/>
      <c r="FK115" s="50"/>
      <c r="FL115" s="50"/>
      <c r="FM115" s="50"/>
      <c r="FN115" s="50"/>
      <c r="FO115" s="50"/>
      <c r="FP115" s="50"/>
      <c r="FQ115" s="50"/>
      <c r="FR115" s="50"/>
      <c r="FS115" s="50"/>
      <c r="FT115" s="50"/>
      <c r="FU115" s="50"/>
      <c r="FV115" s="50"/>
      <c r="FW115" s="50"/>
      <c r="FX115" s="50"/>
      <c r="FY115" s="50"/>
      <c r="FZ115" s="50"/>
      <c r="GA115" s="50"/>
      <c r="GB115" s="50"/>
      <c r="GC115" s="50"/>
      <c r="GD115" s="50"/>
      <c r="GE115" s="50"/>
      <c r="GF115" s="50"/>
      <c r="GG115" s="50"/>
      <c r="GH115" s="50"/>
      <c r="GI115" s="50"/>
      <c r="GJ115" s="50"/>
      <c r="GK115" s="50"/>
      <c r="GL115" s="50"/>
      <c r="GM115" s="50"/>
      <c r="GN115" s="50"/>
      <c r="GO115" s="50"/>
      <c r="GP115" s="50"/>
      <c r="GQ115" s="50"/>
      <c r="GR115" s="50"/>
      <c r="GS115" s="50"/>
      <c r="GT115" s="50"/>
      <c r="GU115" s="50"/>
      <c r="GV115" s="50"/>
      <c r="GW115" s="50"/>
      <c r="GX115" s="50"/>
      <c r="GY115" s="50"/>
      <c r="GZ115" s="50"/>
      <c r="HA115" s="50"/>
    </row>
    <row r="116" s="51" customFormat="1" spans="1:209">
      <c r="A116" s="50"/>
      <c r="B116" s="50"/>
      <c r="C116" s="50"/>
      <c r="D116" s="50"/>
      <c r="E116" s="50"/>
      <c r="F116" s="50"/>
      <c r="G116" s="50"/>
      <c r="H116" s="58" t="s">
        <v>253</v>
      </c>
      <c r="I116" s="58" t="s">
        <v>370</v>
      </c>
      <c r="J116" s="59">
        <v>26148</v>
      </c>
      <c r="K116" s="59">
        <v>148180</v>
      </c>
      <c r="L116" s="59">
        <v>602311</v>
      </c>
      <c r="M116" s="59">
        <v>13144</v>
      </c>
      <c r="N116" s="59">
        <v>789783</v>
      </c>
      <c r="O116" s="63">
        <v>594916</v>
      </c>
      <c r="P116" s="63">
        <f t="shared" si="3"/>
        <v>-194867</v>
      </c>
      <c r="Q116" s="50"/>
      <c r="R116" s="50"/>
      <c r="S116" s="69" t="s">
        <v>253</v>
      </c>
      <c r="T116" s="50"/>
      <c r="U116" s="52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/>
      <c r="CZ116" s="50"/>
      <c r="DA116" s="50"/>
      <c r="DB116" s="50"/>
      <c r="DC116" s="50"/>
      <c r="DD116" s="50"/>
      <c r="DE116" s="50"/>
      <c r="DF116" s="50"/>
      <c r="DG116" s="50"/>
      <c r="DH116" s="50"/>
      <c r="DI116" s="50"/>
      <c r="DJ116" s="50"/>
      <c r="DK116" s="50"/>
      <c r="DL116" s="50"/>
      <c r="DM116" s="50"/>
      <c r="DN116" s="50"/>
      <c r="DO116" s="50"/>
      <c r="DP116" s="50"/>
      <c r="DQ116" s="50"/>
      <c r="DR116" s="50"/>
      <c r="DS116" s="50"/>
      <c r="DT116" s="50"/>
      <c r="DU116" s="50"/>
      <c r="DV116" s="50"/>
      <c r="DW116" s="50"/>
      <c r="DX116" s="50"/>
      <c r="DY116" s="50"/>
      <c r="DZ116" s="50"/>
      <c r="EA116" s="50"/>
      <c r="EB116" s="50"/>
      <c r="EC116" s="50"/>
      <c r="ED116" s="50"/>
      <c r="EE116" s="50"/>
      <c r="EF116" s="50"/>
      <c r="EG116" s="50"/>
      <c r="EH116" s="50"/>
      <c r="EI116" s="50"/>
      <c r="EJ116" s="50"/>
      <c r="EK116" s="50"/>
      <c r="EL116" s="50"/>
      <c r="EM116" s="50"/>
      <c r="EN116" s="50"/>
      <c r="EO116" s="50"/>
      <c r="EP116" s="50"/>
      <c r="EQ116" s="50"/>
      <c r="ER116" s="50"/>
      <c r="ES116" s="50"/>
      <c r="ET116" s="50"/>
      <c r="EU116" s="50"/>
      <c r="EV116" s="50"/>
      <c r="EW116" s="50"/>
      <c r="EX116" s="50"/>
      <c r="EY116" s="50"/>
      <c r="EZ116" s="50"/>
      <c r="FA116" s="50"/>
      <c r="FB116" s="50"/>
      <c r="FC116" s="50"/>
      <c r="FD116" s="50"/>
      <c r="FE116" s="50"/>
      <c r="FF116" s="50"/>
      <c r="FG116" s="50"/>
      <c r="FH116" s="50"/>
      <c r="FI116" s="50"/>
      <c r="FJ116" s="50"/>
      <c r="FK116" s="50"/>
      <c r="FL116" s="50"/>
      <c r="FM116" s="50"/>
      <c r="FN116" s="50"/>
      <c r="FO116" s="50"/>
      <c r="FP116" s="50"/>
      <c r="FQ116" s="50"/>
      <c r="FR116" s="50"/>
      <c r="FS116" s="50"/>
      <c r="FT116" s="50"/>
      <c r="FU116" s="50"/>
      <c r="FV116" s="50"/>
      <c r="FW116" s="50"/>
      <c r="FX116" s="50"/>
      <c r="FY116" s="50"/>
      <c r="FZ116" s="50"/>
      <c r="GA116" s="50"/>
      <c r="GB116" s="50"/>
      <c r="GC116" s="50"/>
      <c r="GD116" s="50"/>
      <c r="GE116" s="50"/>
      <c r="GF116" s="50"/>
      <c r="GG116" s="50"/>
      <c r="GH116" s="50"/>
      <c r="GI116" s="50"/>
      <c r="GJ116" s="50"/>
      <c r="GK116" s="50"/>
      <c r="GL116" s="50"/>
      <c r="GM116" s="50"/>
      <c r="GN116" s="50"/>
      <c r="GO116" s="50"/>
      <c r="GP116" s="50"/>
      <c r="GQ116" s="50"/>
      <c r="GR116" s="50"/>
      <c r="GS116" s="50"/>
      <c r="GT116" s="50"/>
      <c r="GU116" s="50"/>
      <c r="GV116" s="50"/>
      <c r="GW116" s="50"/>
      <c r="GX116" s="50"/>
      <c r="GY116" s="50"/>
      <c r="GZ116" s="50"/>
      <c r="HA116" s="50"/>
    </row>
    <row r="117" s="51" customFormat="1" spans="1:209">
      <c r="A117" s="50"/>
      <c r="B117" s="50"/>
      <c r="C117" s="50"/>
      <c r="D117" s="50"/>
      <c r="E117" s="50"/>
      <c r="F117" s="50"/>
      <c r="G117" s="50"/>
      <c r="H117" s="58" t="s">
        <v>253</v>
      </c>
      <c r="I117" s="58" t="s">
        <v>371</v>
      </c>
      <c r="J117" s="59">
        <v>9466</v>
      </c>
      <c r="K117" s="59">
        <v>62619</v>
      </c>
      <c r="L117" s="59">
        <v>342658</v>
      </c>
      <c r="M117" s="59">
        <v>22279</v>
      </c>
      <c r="N117" s="59">
        <v>437022</v>
      </c>
      <c r="O117" s="63">
        <v>340897</v>
      </c>
      <c r="P117" s="63">
        <f t="shared" si="3"/>
        <v>-96125</v>
      </c>
      <c r="Q117" s="50"/>
      <c r="R117" s="50"/>
      <c r="S117" s="69" t="s">
        <v>253</v>
      </c>
      <c r="T117" s="50"/>
      <c r="U117" s="52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  <c r="CW117" s="50"/>
      <c r="CX117" s="50"/>
      <c r="CY117" s="50"/>
      <c r="CZ117" s="50"/>
      <c r="DA117" s="50"/>
      <c r="DB117" s="50"/>
      <c r="DC117" s="50"/>
      <c r="DD117" s="50"/>
      <c r="DE117" s="50"/>
      <c r="DF117" s="50"/>
      <c r="DG117" s="50"/>
      <c r="DH117" s="50"/>
      <c r="DI117" s="50"/>
      <c r="DJ117" s="50"/>
      <c r="DK117" s="50"/>
      <c r="DL117" s="50"/>
      <c r="DM117" s="50"/>
      <c r="DN117" s="50"/>
      <c r="DO117" s="50"/>
      <c r="DP117" s="50"/>
      <c r="DQ117" s="50"/>
      <c r="DR117" s="50"/>
      <c r="DS117" s="50"/>
      <c r="DT117" s="50"/>
      <c r="DU117" s="50"/>
      <c r="DV117" s="50"/>
      <c r="DW117" s="50"/>
      <c r="DX117" s="50"/>
      <c r="DY117" s="50"/>
      <c r="DZ117" s="50"/>
      <c r="EA117" s="50"/>
      <c r="EB117" s="50"/>
      <c r="EC117" s="50"/>
      <c r="ED117" s="50"/>
      <c r="EE117" s="50"/>
      <c r="EF117" s="50"/>
      <c r="EG117" s="50"/>
      <c r="EH117" s="50"/>
      <c r="EI117" s="50"/>
      <c r="EJ117" s="50"/>
      <c r="EK117" s="50"/>
      <c r="EL117" s="50"/>
      <c r="EM117" s="50"/>
      <c r="EN117" s="50"/>
      <c r="EO117" s="50"/>
      <c r="EP117" s="50"/>
      <c r="EQ117" s="50"/>
      <c r="ER117" s="50"/>
      <c r="ES117" s="50"/>
      <c r="ET117" s="50"/>
      <c r="EU117" s="50"/>
      <c r="EV117" s="50"/>
      <c r="EW117" s="50"/>
      <c r="EX117" s="50"/>
      <c r="EY117" s="50"/>
      <c r="EZ117" s="50"/>
      <c r="FA117" s="50"/>
      <c r="FB117" s="50"/>
      <c r="FC117" s="50"/>
      <c r="FD117" s="50"/>
      <c r="FE117" s="50"/>
      <c r="FF117" s="50"/>
      <c r="FG117" s="50"/>
      <c r="FH117" s="50"/>
      <c r="FI117" s="50"/>
      <c r="FJ117" s="50"/>
      <c r="FK117" s="50"/>
      <c r="FL117" s="50"/>
      <c r="FM117" s="50"/>
      <c r="FN117" s="50"/>
      <c r="FO117" s="50"/>
      <c r="FP117" s="50"/>
      <c r="FQ117" s="50"/>
      <c r="FR117" s="50"/>
      <c r="FS117" s="50"/>
      <c r="FT117" s="50"/>
      <c r="FU117" s="50"/>
      <c r="FV117" s="50"/>
      <c r="FW117" s="50"/>
      <c r="FX117" s="50"/>
      <c r="FY117" s="50"/>
      <c r="FZ117" s="50"/>
      <c r="GA117" s="50"/>
      <c r="GB117" s="50"/>
      <c r="GC117" s="50"/>
      <c r="GD117" s="50"/>
      <c r="GE117" s="50"/>
      <c r="GF117" s="50"/>
      <c r="GG117" s="50"/>
      <c r="GH117" s="50"/>
      <c r="GI117" s="50"/>
      <c r="GJ117" s="50"/>
      <c r="GK117" s="50"/>
      <c r="GL117" s="50"/>
      <c r="GM117" s="50"/>
      <c r="GN117" s="50"/>
      <c r="GO117" s="50"/>
      <c r="GP117" s="50"/>
      <c r="GQ117" s="50"/>
      <c r="GR117" s="50"/>
      <c r="GS117" s="50"/>
      <c r="GT117" s="50"/>
      <c r="GU117" s="50"/>
      <c r="GV117" s="50"/>
      <c r="GW117" s="50"/>
      <c r="GX117" s="50"/>
      <c r="GY117" s="50"/>
      <c r="GZ117" s="50"/>
      <c r="HA117" s="50"/>
    </row>
    <row r="118" s="51" customFormat="1" spans="1:209">
      <c r="A118" s="50"/>
      <c r="B118" s="50"/>
      <c r="C118" s="50"/>
      <c r="D118" s="50"/>
      <c r="E118" s="50"/>
      <c r="F118" s="50"/>
      <c r="G118" s="50"/>
      <c r="H118" s="58" t="s">
        <v>88</v>
      </c>
      <c r="I118" s="58" t="s">
        <v>372</v>
      </c>
      <c r="J118" s="59">
        <v>12636</v>
      </c>
      <c r="K118" s="59">
        <v>67373</v>
      </c>
      <c r="L118" s="59">
        <v>379849</v>
      </c>
      <c r="M118" s="59">
        <v>5489</v>
      </c>
      <c r="N118" s="59">
        <v>465347</v>
      </c>
      <c r="O118" s="63">
        <v>390325</v>
      </c>
      <c r="P118" s="63">
        <f t="shared" si="3"/>
        <v>-75022</v>
      </c>
      <c r="Q118" s="50"/>
      <c r="R118" s="50">
        <v>1</v>
      </c>
      <c r="S118" s="69" t="s">
        <v>88</v>
      </c>
      <c r="T118" s="50"/>
      <c r="U118" s="52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  <c r="CB118" s="50"/>
      <c r="CC118" s="50"/>
      <c r="CD118" s="50"/>
      <c r="CE118" s="50"/>
      <c r="CF118" s="50"/>
      <c r="CG118" s="50"/>
      <c r="CH118" s="50"/>
      <c r="CI118" s="50"/>
      <c r="CJ118" s="50"/>
      <c r="CK118" s="50"/>
      <c r="CL118" s="50"/>
      <c r="CM118" s="50"/>
      <c r="CN118" s="50"/>
      <c r="CO118" s="50"/>
      <c r="CP118" s="50"/>
      <c r="CQ118" s="50"/>
      <c r="CR118" s="50"/>
      <c r="CS118" s="50"/>
      <c r="CT118" s="50"/>
      <c r="CU118" s="50"/>
      <c r="CV118" s="50"/>
      <c r="CW118" s="50"/>
      <c r="CX118" s="50"/>
      <c r="CY118" s="50"/>
      <c r="CZ118" s="50"/>
      <c r="DA118" s="50"/>
      <c r="DB118" s="50"/>
      <c r="DC118" s="50"/>
      <c r="DD118" s="50"/>
      <c r="DE118" s="50"/>
      <c r="DF118" s="50"/>
      <c r="DG118" s="50"/>
      <c r="DH118" s="50"/>
      <c r="DI118" s="50"/>
      <c r="DJ118" s="50"/>
      <c r="DK118" s="50"/>
      <c r="DL118" s="50"/>
      <c r="DM118" s="50"/>
      <c r="DN118" s="50"/>
      <c r="DO118" s="50"/>
      <c r="DP118" s="50"/>
      <c r="DQ118" s="50"/>
      <c r="DR118" s="50"/>
      <c r="DS118" s="50"/>
      <c r="DT118" s="50"/>
      <c r="DU118" s="50"/>
      <c r="DV118" s="50"/>
      <c r="DW118" s="50"/>
      <c r="DX118" s="50"/>
      <c r="DY118" s="50"/>
      <c r="DZ118" s="50"/>
      <c r="EA118" s="50"/>
      <c r="EB118" s="50"/>
      <c r="EC118" s="50"/>
      <c r="ED118" s="50"/>
      <c r="EE118" s="50"/>
      <c r="EF118" s="50"/>
      <c r="EG118" s="50"/>
      <c r="EH118" s="50"/>
      <c r="EI118" s="50"/>
      <c r="EJ118" s="50"/>
      <c r="EK118" s="50"/>
      <c r="EL118" s="50"/>
      <c r="EM118" s="50"/>
      <c r="EN118" s="50"/>
      <c r="EO118" s="50"/>
      <c r="EP118" s="50"/>
      <c r="EQ118" s="50"/>
      <c r="ER118" s="50"/>
      <c r="ES118" s="50"/>
      <c r="ET118" s="50"/>
      <c r="EU118" s="50"/>
      <c r="EV118" s="50"/>
      <c r="EW118" s="50"/>
      <c r="EX118" s="50"/>
      <c r="EY118" s="50"/>
      <c r="EZ118" s="50"/>
      <c r="FA118" s="50"/>
      <c r="FB118" s="50"/>
      <c r="FC118" s="50"/>
      <c r="FD118" s="50"/>
      <c r="FE118" s="50"/>
      <c r="FF118" s="50"/>
      <c r="FG118" s="50"/>
      <c r="FH118" s="50"/>
      <c r="FI118" s="50"/>
      <c r="FJ118" s="50"/>
      <c r="FK118" s="50"/>
      <c r="FL118" s="50"/>
      <c r="FM118" s="50"/>
      <c r="FN118" s="50"/>
      <c r="FO118" s="50"/>
      <c r="FP118" s="50"/>
      <c r="FQ118" s="50"/>
      <c r="FR118" s="50"/>
      <c r="FS118" s="50"/>
      <c r="FT118" s="50"/>
      <c r="FU118" s="50"/>
      <c r="FV118" s="50"/>
      <c r="FW118" s="50"/>
      <c r="FX118" s="50"/>
      <c r="FY118" s="50"/>
      <c r="FZ118" s="50"/>
      <c r="GA118" s="50"/>
      <c r="GB118" s="50"/>
      <c r="GC118" s="50"/>
      <c r="GD118" s="50"/>
      <c r="GE118" s="50"/>
      <c r="GF118" s="50"/>
      <c r="GG118" s="50"/>
      <c r="GH118" s="50"/>
      <c r="GI118" s="50"/>
      <c r="GJ118" s="50"/>
      <c r="GK118" s="50"/>
      <c r="GL118" s="50"/>
      <c r="GM118" s="50"/>
      <c r="GN118" s="50"/>
      <c r="GO118" s="50"/>
      <c r="GP118" s="50"/>
      <c r="GQ118" s="50"/>
      <c r="GR118" s="50"/>
      <c r="GS118" s="50"/>
      <c r="GT118" s="50"/>
      <c r="GU118" s="50"/>
      <c r="GV118" s="50"/>
      <c r="GW118" s="50"/>
      <c r="GX118" s="50"/>
      <c r="GY118" s="50"/>
      <c r="GZ118" s="50"/>
      <c r="HA118" s="50"/>
    </row>
    <row r="119" s="51" customFormat="1" spans="1:209">
      <c r="A119" s="50"/>
      <c r="B119" s="50"/>
      <c r="C119" s="50"/>
      <c r="D119" s="50"/>
      <c r="E119" s="50"/>
      <c r="F119" s="50"/>
      <c r="G119" s="50"/>
      <c r="H119" s="58" t="s">
        <v>88</v>
      </c>
      <c r="I119" s="58" t="s">
        <v>373</v>
      </c>
      <c r="J119" s="59">
        <v>11417</v>
      </c>
      <c r="K119" s="59">
        <v>61151</v>
      </c>
      <c r="L119" s="59">
        <v>255262</v>
      </c>
      <c r="M119" s="59">
        <v>9096</v>
      </c>
      <c r="N119" s="59">
        <v>336926</v>
      </c>
      <c r="O119" s="63">
        <v>139677</v>
      </c>
      <c r="P119" s="63">
        <f t="shared" si="3"/>
        <v>-197249</v>
      </c>
      <c r="Q119" s="50"/>
      <c r="R119" s="50">
        <v>1</v>
      </c>
      <c r="S119" s="69" t="s">
        <v>88</v>
      </c>
      <c r="T119" s="50"/>
      <c r="U119" s="52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0"/>
      <c r="CW119" s="50"/>
      <c r="CX119" s="50"/>
      <c r="CY119" s="50"/>
      <c r="CZ119" s="50"/>
      <c r="DA119" s="50"/>
      <c r="DB119" s="50"/>
      <c r="DC119" s="50"/>
      <c r="DD119" s="50"/>
      <c r="DE119" s="50"/>
      <c r="DF119" s="50"/>
      <c r="DG119" s="50"/>
      <c r="DH119" s="50"/>
      <c r="DI119" s="50"/>
      <c r="DJ119" s="50"/>
      <c r="DK119" s="50"/>
      <c r="DL119" s="50"/>
      <c r="DM119" s="50"/>
      <c r="DN119" s="50"/>
      <c r="DO119" s="50"/>
      <c r="DP119" s="50"/>
      <c r="DQ119" s="50"/>
      <c r="DR119" s="50"/>
      <c r="DS119" s="50"/>
      <c r="DT119" s="50"/>
      <c r="DU119" s="50"/>
      <c r="DV119" s="50"/>
      <c r="DW119" s="50"/>
      <c r="DX119" s="50"/>
      <c r="DY119" s="50"/>
      <c r="DZ119" s="50"/>
      <c r="EA119" s="50"/>
      <c r="EB119" s="50"/>
      <c r="EC119" s="50"/>
      <c r="ED119" s="50"/>
      <c r="EE119" s="50"/>
      <c r="EF119" s="50"/>
      <c r="EG119" s="50"/>
      <c r="EH119" s="50"/>
      <c r="EI119" s="50"/>
      <c r="EJ119" s="50"/>
      <c r="EK119" s="50"/>
      <c r="EL119" s="50"/>
      <c r="EM119" s="50"/>
      <c r="EN119" s="50"/>
      <c r="EO119" s="50"/>
      <c r="EP119" s="50"/>
      <c r="EQ119" s="50"/>
      <c r="ER119" s="50"/>
      <c r="ES119" s="50"/>
      <c r="ET119" s="50"/>
      <c r="EU119" s="50"/>
      <c r="EV119" s="50"/>
      <c r="EW119" s="50"/>
      <c r="EX119" s="50"/>
      <c r="EY119" s="50"/>
      <c r="EZ119" s="50"/>
      <c r="FA119" s="50"/>
      <c r="FB119" s="50"/>
      <c r="FC119" s="50"/>
      <c r="FD119" s="50"/>
      <c r="FE119" s="50"/>
      <c r="FF119" s="50"/>
      <c r="FG119" s="50"/>
      <c r="FH119" s="50"/>
      <c r="FI119" s="50"/>
      <c r="FJ119" s="50"/>
      <c r="FK119" s="50"/>
      <c r="FL119" s="50"/>
      <c r="FM119" s="50"/>
      <c r="FN119" s="50"/>
      <c r="FO119" s="50"/>
      <c r="FP119" s="50"/>
      <c r="FQ119" s="50"/>
      <c r="FR119" s="50"/>
      <c r="FS119" s="50"/>
      <c r="FT119" s="50"/>
      <c r="FU119" s="50"/>
      <c r="FV119" s="50"/>
      <c r="FW119" s="50"/>
      <c r="FX119" s="50"/>
      <c r="FY119" s="50"/>
      <c r="FZ119" s="50"/>
      <c r="GA119" s="50"/>
      <c r="GB119" s="50"/>
      <c r="GC119" s="50"/>
      <c r="GD119" s="50"/>
      <c r="GE119" s="50"/>
      <c r="GF119" s="50"/>
      <c r="GG119" s="50"/>
      <c r="GH119" s="50"/>
      <c r="GI119" s="50"/>
      <c r="GJ119" s="50"/>
      <c r="GK119" s="50"/>
      <c r="GL119" s="50"/>
      <c r="GM119" s="50"/>
      <c r="GN119" s="50"/>
      <c r="GO119" s="50"/>
      <c r="GP119" s="50"/>
      <c r="GQ119" s="50"/>
      <c r="GR119" s="50"/>
      <c r="GS119" s="50"/>
      <c r="GT119" s="50"/>
      <c r="GU119" s="50"/>
      <c r="GV119" s="50"/>
      <c r="GW119" s="50"/>
      <c r="GX119" s="50"/>
      <c r="GY119" s="50"/>
      <c r="GZ119" s="50"/>
      <c r="HA119" s="50"/>
    </row>
    <row r="120" s="51" customFormat="1" spans="1:209">
      <c r="A120" s="50"/>
      <c r="B120" s="50"/>
      <c r="C120" s="50"/>
      <c r="D120" s="50"/>
      <c r="E120" s="50"/>
      <c r="F120" s="50"/>
      <c r="G120" s="50"/>
      <c r="H120" s="58" t="s">
        <v>88</v>
      </c>
      <c r="I120" s="58" t="s">
        <v>374</v>
      </c>
      <c r="J120" s="59">
        <v>13514</v>
      </c>
      <c r="K120" s="59">
        <v>82959</v>
      </c>
      <c r="L120" s="59">
        <v>420320</v>
      </c>
      <c r="M120" s="59">
        <v>2449</v>
      </c>
      <c r="N120" s="59">
        <v>519242</v>
      </c>
      <c r="O120" s="63">
        <v>492109</v>
      </c>
      <c r="P120" s="63">
        <f t="shared" si="3"/>
        <v>-27133</v>
      </c>
      <c r="Q120" s="50"/>
      <c r="R120" s="50">
        <v>1</v>
      </c>
      <c r="S120" s="69" t="s">
        <v>88</v>
      </c>
      <c r="T120" s="50"/>
      <c r="U120" s="52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50"/>
      <c r="BX120" s="50"/>
      <c r="BY120" s="50"/>
      <c r="BZ120" s="50"/>
      <c r="CA120" s="50"/>
      <c r="CB120" s="50"/>
      <c r="CC120" s="50"/>
      <c r="CD120" s="50"/>
      <c r="CE120" s="50"/>
      <c r="CF120" s="50"/>
      <c r="CG120" s="50"/>
      <c r="CH120" s="50"/>
      <c r="CI120" s="50"/>
      <c r="CJ120" s="50"/>
      <c r="CK120" s="50"/>
      <c r="CL120" s="50"/>
      <c r="CM120" s="50"/>
      <c r="CN120" s="50"/>
      <c r="CO120" s="50"/>
      <c r="CP120" s="50"/>
      <c r="CQ120" s="50"/>
      <c r="CR120" s="50"/>
      <c r="CS120" s="50"/>
      <c r="CT120" s="50"/>
      <c r="CU120" s="50"/>
      <c r="CV120" s="50"/>
      <c r="CW120" s="50"/>
      <c r="CX120" s="50"/>
      <c r="CY120" s="50"/>
      <c r="CZ120" s="50"/>
      <c r="DA120" s="50"/>
      <c r="DB120" s="50"/>
      <c r="DC120" s="50"/>
      <c r="DD120" s="50"/>
      <c r="DE120" s="50"/>
      <c r="DF120" s="50"/>
      <c r="DG120" s="50"/>
      <c r="DH120" s="50"/>
      <c r="DI120" s="50"/>
      <c r="DJ120" s="50"/>
      <c r="DK120" s="50"/>
      <c r="DL120" s="50"/>
      <c r="DM120" s="50"/>
      <c r="DN120" s="50"/>
      <c r="DO120" s="50"/>
      <c r="DP120" s="50"/>
      <c r="DQ120" s="50"/>
      <c r="DR120" s="50"/>
      <c r="DS120" s="50"/>
      <c r="DT120" s="50"/>
      <c r="DU120" s="50"/>
      <c r="DV120" s="50"/>
      <c r="DW120" s="50"/>
      <c r="DX120" s="50"/>
      <c r="DY120" s="50"/>
      <c r="DZ120" s="50"/>
      <c r="EA120" s="50"/>
      <c r="EB120" s="50"/>
      <c r="EC120" s="50"/>
      <c r="ED120" s="50"/>
      <c r="EE120" s="50"/>
      <c r="EF120" s="50"/>
      <c r="EG120" s="50"/>
      <c r="EH120" s="50"/>
      <c r="EI120" s="50"/>
      <c r="EJ120" s="50"/>
      <c r="EK120" s="50"/>
      <c r="EL120" s="50"/>
      <c r="EM120" s="50"/>
      <c r="EN120" s="50"/>
      <c r="EO120" s="50"/>
      <c r="EP120" s="50"/>
      <c r="EQ120" s="50"/>
      <c r="ER120" s="50"/>
      <c r="ES120" s="50"/>
      <c r="ET120" s="50"/>
      <c r="EU120" s="50"/>
      <c r="EV120" s="50"/>
      <c r="EW120" s="50"/>
      <c r="EX120" s="50"/>
      <c r="EY120" s="50"/>
      <c r="EZ120" s="50"/>
      <c r="FA120" s="50"/>
      <c r="FB120" s="50"/>
      <c r="FC120" s="50"/>
      <c r="FD120" s="50"/>
      <c r="FE120" s="50"/>
      <c r="FF120" s="50"/>
      <c r="FG120" s="50"/>
      <c r="FH120" s="50"/>
      <c r="FI120" s="50"/>
      <c r="FJ120" s="50"/>
      <c r="FK120" s="50"/>
      <c r="FL120" s="50"/>
      <c r="FM120" s="50"/>
      <c r="FN120" s="50"/>
      <c r="FO120" s="50"/>
      <c r="FP120" s="50"/>
      <c r="FQ120" s="50"/>
      <c r="FR120" s="50"/>
      <c r="FS120" s="50"/>
      <c r="FT120" s="50"/>
      <c r="FU120" s="50"/>
      <c r="FV120" s="50"/>
      <c r="FW120" s="50"/>
      <c r="FX120" s="50"/>
      <c r="FY120" s="50"/>
      <c r="FZ120" s="50"/>
      <c r="GA120" s="50"/>
      <c r="GB120" s="50"/>
      <c r="GC120" s="50"/>
      <c r="GD120" s="50"/>
      <c r="GE120" s="50"/>
      <c r="GF120" s="50"/>
      <c r="GG120" s="50"/>
      <c r="GH120" s="50"/>
      <c r="GI120" s="50"/>
      <c r="GJ120" s="50"/>
      <c r="GK120" s="50"/>
      <c r="GL120" s="50"/>
      <c r="GM120" s="50"/>
      <c r="GN120" s="50"/>
      <c r="GO120" s="50"/>
      <c r="GP120" s="50"/>
      <c r="GQ120" s="50"/>
      <c r="GR120" s="50"/>
      <c r="GS120" s="50"/>
      <c r="GT120" s="50"/>
      <c r="GU120" s="50"/>
      <c r="GV120" s="50"/>
      <c r="GW120" s="50"/>
      <c r="GX120" s="50"/>
      <c r="GY120" s="50"/>
      <c r="GZ120" s="50"/>
      <c r="HA120" s="50"/>
    </row>
    <row r="121" s="51" customFormat="1" spans="1:209">
      <c r="A121" s="50"/>
      <c r="B121" s="50"/>
      <c r="C121" s="50"/>
      <c r="D121" s="50"/>
      <c r="E121" s="50"/>
      <c r="F121" s="50"/>
      <c r="G121" s="50"/>
      <c r="H121" s="58" t="s">
        <v>88</v>
      </c>
      <c r="I121" s="58" t="s">
        <v>302</v>
      </c>
      <c r="J121" s="59">
        <v>5139</v>
      </c>
      <c r="K121" s="59">
        <v>26749</v>
      </c>
      <c r="L121" s="59">
        <v>173739</v>
      </c>
      <c r="M121" s="59">
        <v>9645</v>
      </c>
      <c r="N121" s="59">
        <v>215272</v>
      </c>
      <c r="O121" s="63">
        <v>258056</v>
      </c>
      <c r="P121" s="63">
        <f t="shared" si="3"/>
        <v>42784</v>
      </c>
      <c r="Q121" s="50">
        <v>1</v>
      </c>
      <c r="R121" s="50">
        <v>1</v>
      </c>
      <c r="S121" s="69" t="s">
        <v>88</v>
      </c>
      <c r="T121" s="50"/>
      <c r="U121" s="52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  <c r="CF121" s="50"/>
      <c r="CG121" s="50"/>
      <c r="CH121" s="50"/>
      <c r="CI121" s="50"/>
      <c r="CJ121" s="50"/>
      <c r="CK121" s="50"/>
      <c r="CL121" s="50"/>
      <c r="CM121" s="50"/>
      <c r="CN121" s="50"/>
      <c r="CO121" s="50"/>
      <c r="CP121" s="50"/>
      <c r="CQ121" s="50"/>
      <c r="CR121" s="50"/>
      <c r="CS121" s="50"/>
      <c r="CT121" s="50"/>
      <c r="CU121" s="50"/>
      <c r="CV121" s="50"/>
      <c r="CW121" s="50"/>
      <c r="CX121" s="50"/>
      <c r="CY121" s="50"/>
      <c r="CZ121" s="50"/>
      <c r="DA121" s="50"/>
      <c r="DB121" s="50"/>
      <c r="DC121" s="50"/>
      <c r="DD121" s="50"/>
      <c r="DE121" s="50"/>
      <c r="DF121" s="50"/>
      <c r="DG121" s="50"/>
      <c r="DH121" s="50"/>
      <c r="DI121" s="50"/>
      <c r="DJ121" s="50"/>
      <c r="DK121" s="50"/>
      <c r="DL121" s="50"/>
      <c r="DM121" s="50"/>
      <c r="DN121" s="50"/>
      <c r="DO121" s="50"/>
      <c r="DP121" s="50"/>
      <c r="DQ121" s="50"/>
      <c r="DR121" s="50"/>
      <c r="DS121" s="50"/>
      <c r="DT121" s="50"/>
      <c r="DU121" s="50"/>
      <c r="DV121" s="50"/>
      <c r="DW121" s="50"/>
      <c r="DX121" s="50"/>
      <c r="DY121" s="50"/>
      <c r="DZ121" s="50"/>
      <c r="EA121" s="50"/>
      <c r="EB121" s="50"/>
      <c r="EC121" s="50"/>
      <c r="ED121" s="50"/>
      <c r="EE121" s="50"/>
      <c r="EF121" s="50"/>
      <c r="EG121" s="50"/>
      <c r="EH121" s="50"/>
      <c r="EI121" s="50"/>
      <c r="EJ121" s="50"/>
      <c r="EK121" s="50"/>
      <c r="EL121" s="50"/>
      <c r="EM121" s="50"/>
      <c r="EN121" s="50"/>
      <c r="EO121" s="50"/>
      <c r="EP121" s="50"/>
      <c r="EQ121" s="50"/>
      <c r="ER121" s="50"/>
      <c r="ES121" s="50"/>
      <c r="ET121" s="50"/>
      <c r="EU121" s="50"/>
      <c r="EV121" s="50"/>
      <c r="EW121" s="50"/>
      <c r="EX121" s="50"/>
      <c r="EY121" s="50"/>
      <c r="EZ121" s="50"/>
      <c r="FA121" s="50"/>
      <c r="FB121" s="50"/>
      <c r="FC121" s="50"/>
      <c r="FD121" s="50"/>
      <c r="FE121" s="50"/>
      <c r="FF121" s="50"/>
      <c r="FG121" s="50"/>
      <c r="FH121" s="50"/>
      <c r="FI121" s="50"/>
      <c r="FJ121" s="50"/>
      <c r="FK121" s="50"/>
      <c r="FL121" s="50"/>
      <c r="FM121" s="50"/>
      <c r="FN121" s="50"/>
      <c r="FO121" s="50"/>
      <c r="FP121" s="50"/>
      <c r="FQ121" s="50"/>
      <c r="FR121" s="50"/>
      <c r="FS121" s="50"/>
      <c r="FT121" s="50"/>
      <c r="FU121" s="50"/>
      <c r="FV121" s="50"/>
      <c r="FW121" s="50"/>
      <c r="FX121" s="50"/>
      <c r="FY121" s="50"/>
      <c r="FZ121" s="50"/>
      <c r="GA121" s="50"/>
      <c r="GB121" s="50"/>
      <c r="GC121" s="50"/>
      <c r="GD121" s="50"/>
      <c r="GE121" s="50"/>
      <c r="GF121" s="50"/>
      <c r="GG121" s="50"/>
      <c r="GH121" s="50"/>
      <c r="GI121" s="50"/>
      <c r="GJ121" s="50"/>
      <c r="GK121" s="50"/>
      <c r="GL121" s="50"/>
      <c r="GM121" s="50"/>
      <c r="GN121" s="50"/>
      <c r="GO121" s="50"/>
      <c r="GP121" s="50"/>
      <c r="GQ121" s="50"/>
      <c r="GR121" s="50"/>
      <c r="GS121" s="50"/>
      <c r="GT121" s="50"/>
      <c r="GU121" s="50"/>
      <c r="GV121" s="50"/>
      <c r="GW121" s="50"/>
      <c r="GX121" s="50"/>
      <c r="GY121" s="50"/>
      <c r="GZ121" s="50"/>
      <c r="HA121" s="50"/>
    </row>
    <row r="122" s="51" customFormat="1" spans="1:209">
      <c r="A122" s="50"/>
      <c r="B122" s="50"/>
      <c r="C122" s="50"/>
      <c r="D122" s="50"/>
      <c r="E122" s="50"/>
      <c r="F122" s="50"/>
      <c r="G122" s="50"/>
      <c r="H122" s="58" t="s">
        <v>88</v>
      </c>
      <c r="I122" s="58" t="s">
        <v>304</v>
      </c>
      <c r="J122" s="59">
        <v>8206</v>
      </c>
      <c r="K122" s="59">
        <v>48844</v>
      </c>
      <c r="L122" s="59">
        <v>309274</v>
      </c>
      <c r="M122" s="59">
        <v>2229</v>
      </c>
      <c r="N122" s="59">
        <v>368553</v>
      </c>
      <c r="O122" s="63">
        <v>472739</v>
      </c>
      <c r="P122" s="63">
        <f t="shared" si="3"/>
        <v>104186</v>
      </c>
      <c r="Q122" s="50">
        <v>1</v>
      </c>
      <c r="R122" s="50">
        <v>1</v>
      </c>
      <c r="S122" s="69" t="s">
        <v>88</v>
      </c>
      <c r="T122" s="50"/>
      <c r="U122" s="52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50"/>
      <c r="BW122" s="50"/>
      <c r="BX122" s="50"/>
      <c r="BY122" s="50"/>
      <c r="BZ122" s="50"/>
      <c r="CA122" s="50"/>
      <c r="CB122" s="50"/>
      <c r="CC122" s="50"/>
      <c r="CD122" s="50"/>
      <c r="CE122" s="50"/>
      <c r="CF122" s="50"/>
      <c r="CG122" s="50"/>
      <c r="CH122" s="50"/>
      <c r="CI122" s="50"/>
      <c r="CJ122" s="50"/>
      <c r="CK122" s="50"/>
      <c r="CL122" s="50"/>
      <c r="CM122" s="50"/>
      <c r="CN122" s="50"/>
      <c r="CO122" s="50"/>
      <c r="CP122" s="50"/>
      <c r="CQ122" s="50"/>
      <c r="CR122" s="50"/>
      <c r="CS122" s="50"/>
      <c r="CT122" s="50"/>
      <c r="CU122" s="50"/>
      <c r="CV122" s="50"/>
      <c r="CW122" s="50"/>
      <c r="CX122" s="50"/>
      <c r="CY122" s="50"/>
      <c r="CZ122" s="50"/>
      <c r="DA122" s="50"/>
      <c r="DB122" s="50"/>
      <c r="DC122" s="50"/>
      <c r="DD122" s="50"/>
      <c r="DE122" s="50"/>
      <c r="DF122" s="50"/>
      <c r="DG122" s="50"/>
      <c r="DH122" s="50"/>
      <c r="DI122" s="50"/>
      <c r="DJ122" s="50"/>
      <c r="DK122" s="50"/>
      <c r="DL122" s="50"/>
      <c r="DM122" s="50"/>
      <c r="DN122" s="50"/>
      <c r="DO122" s="50"/>
      <c r="DP122" s="50"/>
      <c r="DQ122" s="50"/>
      <c r="DR122" s="50"/>
      <c r="DS122" s="50"/>
      <c r="DT122" s="50"/>
      <c r="DU122" s="50"/>
      <c r="DV122" s="50"/>
      <c r="DW122" s="50"/>
      <c r="DX122" s="50"/>
      <c r="DY122" s="50"/>
      <c r="DZ122" s="50"/>
      <c r="EA122" s="50"/>
      <c r="EB122" s="50"/>
      <c r="EC122" s="50"/>
      <c r="ED122" s="50"/>
      <c r="EE122" s="50"/>
      <c r="EF122" s="50"/>
      <c r="EG122" s="50"/>
      <c r="EH122" s="50"/>
      <c r="EI122" s="50"/>
      <c r="EJ122" s="50"/>
      <c r="EK122" s="50"/>
      <c r="EL122" s="50"/>
      <c r="EM122" s="50"/>
      <c r="EN122" s="50"/>
      <c r="EO122" s="50"/>
      <c r="EP122" s="50"/>
      <c r="EQ122" s="50"/>
      <c r="ER122" s="50"/>
      <c r="ES122" s="50"/>
      <c r="ET122" s="50"/>
      <c r="EU122" s="50"/>
      <c r="EV122" s="50"/>
      <c r="EW122" s="50"/>
      <c r="EX122" s="50"/>
      <c r="EY122" s="50"/>
      <c r="EZ122" s="50"/>
      <c r="FA122" s="50"/>
      <c r="FB122" s="50"/>
      <c r="FC122" s="50"/>
      <c r="FD122" s="50"/>
      <c r="FE122" s="50"/>
      <c r="FF122" s="50"/>
      <c r="FG122" s="50"/>
      <c r="FH122" s="50"/>
      <c r="FI122" s="50"/>
      <c r="FJ122" s="50"/>
      <c r="FK122" s="50"/>
      <c r="FL122" s="50"/>
      <c r="FM122" s="50"/>
      <c r="FN122" s="50"/>
      <c r="FO122" s="50"/>
      <c r="FP122" s="50"/>
      <c r="FQ122" s="50"/>
      <c r="FR122" s="50"/>
      <c r="FS122" s="50"/>
      <c r="FT122" s="50"/>
      <c r="FU122" s="50"/>
      <c r="FV122" s="50"/>
      <c r="FW122" s="50"/>
      <c r="FX122" s="50"/>
      <c r="FY122" s="50"/>
      <c r="FZ122" s="50"/>
      <c r="GA122" s="50"/>
      <c r="GB122" s="50"/>
      <c r="GC122" s="50"/>
      <c r="GD122" s="50"/>
      <c r="GE122" s="50"/>
      <c r="GF122" s="50"/>
      <c r="GG122" s="50"/>
      <c r="GH122" s="50"/>
      <c r="GI122" s="50"/>
      <c r="GJ122" s="50"/>
      <c r="GK122" s="50"/>
      <c r="GL122" s="50"/>
      <c r="GM122" s="50"/>
      <c r="GN122" s="50"/>
      <c r="GO122" s="50"/>
      <c r="GP122" s="50"/>
      <c r="GQ122" s="50"/>
      <c r="GR122" s="50"/>
      <c r="GS122" s="50"/>
      <c r="GT122" s="50"/>
      <c r="GU122" s="50"/>
      <c r="GV122" s="50"/>
      <c r="GW122" s="50"/>
      <c r="GX122" s="50"/>
      <c r="GY122" s="50"/>
      <c r="GZ122" s="50"/>
      <c r="HA122" s="50"/>
    </row>
    <row r="123" s="51" customFormat="1" spans="1:209">
      <c r="A123" s="50"/>
      <c r="B123" s="50"/>
      <c r="C123" s="50"/>
      <c r="D123" s="50"/>
      <c r="E123" s="50"/>
      <c r="F123" s="50"/>
      <c r="G123" s="50"/>
      <c r="H123" s="58" t="s">
        <v>88</v>
      </c>
      <c r="I123" s="58" t="s">
        <v>306</v>
      </c>
      <c r="J123" s="59">
        <v>5753</v>
      </c>
      <c r="K123" s="59">
        <v>22026</v>
      </c>
      <c r="L123" s="59">
        <v>155314</v>
      </c>
      <c r="M123" s="59">
        <v>824</v>
      </c>
      <c r="N123" s="59">
        <v>183917</v>
      </c>
      <c r="O123" s="63">
        <v>228974</v>
      </c>
      <c r="P123" s="63">
        <f t="shared" si="3"/>
        <v>45057</v>
      </c>
      <c r="Q123" s="50">
        <v>1</v>
      </c>
      <c r="R123" s="50">
        <v>1</v>
      </c>
      <c r="S123" s="69" t="s">
        <v>88</v>
      </c>
      <c r="T123" s="50"/>
      <c r="U123" s="52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0"/>
      <c r="BY123" s="50"/>
      <c r="BZ123" s="50"/>
      <c r="CA123" s="50"/>
      <c r="CB123" s="50"/>
      <c r="CC123" s="50"/>
      <c r="CD123" s="50"/>
      <c r="CE123" s="50"/>
      <c r="CF123" s="50"/>
      <c r="CG123" s="50"/>
      <c r="CH123" s="50"/>
      <c r="CI123" s="50"/>
      <c r="CJ123" s="50"/>
      <c r="CK123" s="50"/>
      <c r="CL123" s="50"/>
      <c r="CM123" s="50"/>
      <c r="CN123" s="50"/>
      <c r="CO123" s="50"/>
      <c r="CP123" s="50"/>
      <c r="CQ123" s="50"/>
      <c r="CR123" s="50"/>
      <c r="CS123" s="50"/>
      <c r="CT123" s="50"/>
      <c r="CU123" s="50"/>
      <c r="CV123" s="50"/>
      <c r="CW123" s="50"/>
      <c r="CX123" s="50"/>
      <c r="CY123" s="50"/>
      <c r="CZ123" s="50"/>
      <c r="DA123" s="50"/>
      <c r="DB123" s="50"/>
      <c r="DC123" s="50"/>
      <c r="DD123" s="50"/>
      <c r="DE123" s="50"/>
      <c r="DF123" s="50"/>
      <c r="DG123" s="50"/>
      <c r="DH123" s="50"/>
      <c r="DI123" s="50"/>
      <c r="DJ123" s="50"/>
      <c r="DK123" s="50"/>
      <c r="DL123" s="50"/>
      <c r="DM123" s="50"/>
      <c r="DN123" s="50"/>
      <c r="DO123" s="50"/>
      <c r="DP123" s="50"/>
      <c r="DQ123" s="50"/>
      <c r="DR123" s="50"/>
      <c r="DS123" s="50"/>
      <c r="DT123" s="50"/>
      <c r="DU123" s="50"/>
      <c r="DV123" s="50"/>
      <c r="DW123" s="50"/>
      <c r="DX123" s="50"/>
      <c r="DY123" s="50"/>
      <c r="DZ123" s="50"/>
      <c r="EA123" s="50"/>
      <c r="EB123" s="50"/>
      <c r="EC123" s="50"/>
      <c r="ED123" s="50"/>
      <c r="EE123" s="50"/>
      <c r="EF123" s="50"/>
      <c r="EG123" s="50"/>
      <c r="EH123" s="50"/>
      <c r="EI123" s="50"/>
      <c r="EJ123" s="50"/>
      <c r="EK123" s="50"/>
      <c r="EL123" s="50"/>
      <c r="EM123" s="50"/>
      <c r="EN123" s="50"/>
      <c r="EO123" s="50"/>
      <c r="EP123" s="50"/>
      <c r="EQ123" s="50"/>
      <c r="ER123" s="50"/>
      <c r="ES123" s="50"/>
      <c r="ET123" s="50"/>
      <c r="EU123" s="50"/>
      <c r="EV123" s="50"/>
      <c r="EW123" s="50"/>
      <c r="EX123" s="50"/>
      <c r="EY123" s="50"/>
      <c r="EZ123" s="50"/>
      <c r="FA123" s="50"/>
      <c r="FB123" s="50"/>
      <c r="FC123" s="50"/>
      <c r="FD123" s="50"/>
      <c r="FE123" s="50"/>
      <c r="FF123" s="50"/>
      <c r="FG123" s="50"/>
      <c r="FH123" s="50"/>
      <c r="FI123" s="50"/>
      <c r="FJ123" s="50"/>
      <c r="FK123" s="50"/>
      <c r="FL123" s="50"/>
      <c r="FM123" s="50"/>
      <c r="FN123" s="50"/>
      <c r="FO123" s="50"/>
      <c r="FP123" s="50"/>
      <c r="FQ123" s="50"/>
      <c r="FR123" s="50"/>
      <c r="FS123" s="50"/>
      <c r="FT123" s="50"/>
      <c r="FU123" s="50"/>
      <c r="FV123" s="50"/>
      <c r="FW123" s="50"/>
      <c r="FX123" s="50"/>
      <c r="FY123" s="50"/>
      <c r="FZ123" s="50"/>
      <c r="GA123" s="50"/>
      <c r="GB123" s="50"/>
      <c r="GC123" s="50"/>
      <c r="GD123" s="50"/>
      <c r="GE123" s="50"/>
      <c r="GF123" s="50"/>
      <c r="GG123" s="50"/>
      <c r="GH123" s="50"/>
      <c r="GI123" s="50"/>
      <c r="GJ123" s="50"/>
      <c r="GK123" s="50"/>
      <c r="GL123" s="50"/>
      <c r="GM123" s="50"/>
      <c r="GN123" s="50"/>
      <c r="GO123" s="50"/>
      <c r="GP123" s="50"/>
      <c r="GQ123" s="50"/>
      <c r="GR123" s="50"/>
      <c r="GS123" s="50"/>
      <c r="GT123" s="50"/>
      <c r="GU123" s="50"/>
      <c r="GV123" s="50"/>
      <c r="GW123" s="50"/>
      <c r="GX123" s="50"/>
      <c r="GY123" s="50"/>
      <c r="GZ123" s="50"/>
      <c r="HA123" s="50"/>
    </row>
    <row r="124" s="51" customFormat="1" spans="1:209">
      <c r="A124" s="50"/>
      <c r="B124" s="50"/>
      <c r="C124" s="50"/>
      <c r="D124" s="50"/>
      <c r="E124" s="50"/>
      <c r="F124" s="50"/>
      <c r="G124" s="50"/>
      <c r="H124" s="58" t="s">
        <v>88</v>
      </c>
      <c r="I124" s="58" t="s">
        <v>307</v>
      </c>
      <c r="J124" s="59">
        <v>3899</v>
      </c>
      <c r="K124" s="59">
        <v>20884</v>
      </c>
      <c r="L124" s="59">
        <v>152008</v>
      </c>
      <c r="M124" s="59">
        <v>239</v>
      </c>
      <c r="N124" s="59">
        <v>177030</v>
      </c>
      <c r="O124" s="63">
        <v>207985</v>
      </c>
      <c r="P124" s="63">
        <f t="shared" si="3"/>
        <v>30955</v>
      </c>
      <c r="Q124" s="50">
        <v>1</v>
      </c>
      <c r="R124" s="50">
        <v>1</v>
      </c>
      <c r="S124" s="69" t="s">
        <v>88</v>
      </c>
      <c r="T124" s="50"/>
      <c r="U124" s="52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50"/>
      <c r="BZ124" s="50"/>
      <c r="CA124" s="50"/>
      <c r="CB124" s="50"/>
      <c r="CC124" s="50"/>
      <c r="CD124" s="50"/>
      <c r="CE124" s="50"/>
      <c r="CF124" s="50"/>
      <c r="CG124" s="50"/>
      <c r="CH124" s="50"/>
      <c r="CI124" s="50"/>
      <c r="CJ124" s="50"/>
      <c r="CK124" s="50"/>
      <c r="CL124" s="50"/>
      <c r="CM124" s="50"/>
      <c r="CN124" s="50"/>
      <c r="CO124" s="50"/>
      <c r="CP124" s="50"/>
      <c r="CQ124" s="50"/>
      <c r="CR124" s="50"/>
      <c r="CS124" s="50"/>
      <c r="CT124" s="50"/>
      <c r="CU124" s="50"/>
      <c r="CV124" s="50"/>
      <c r="CW124" s="50"/>
      <c r="CX124" s="50"/>
      <c r="CY124" s="50"/>
      <c r="CZ124" s="50"/>
      <c r="DA124" s="50"/>
      <c r="DB124" s="50"/>
      <c r="DC124" s="50"/>
      <c r="DD124" s="50"/>
      <c r="DE124" s="50"/>
      <c r="DF124" s="50"/>
      <c r="DG124" s="50"/>
      <c r="DH124" s="50"/>
      <c r="DI124" s="50"/>
      <c r="DJ124" s="50"/>
      <c r="DK124" s="50"/>
      <c r="DL124" s="50"/>
      <c r="DM124" s="50"/>
      <c r="DN124" s="50"/>
      <c r="DO124" s="50"/>
      <c r="DP124" s="50"/>
      <c r="DQ124" s="50"/>
      <c r="DR124" s="50"/>
      <c r="DS124" s="50"/>
      <c r="DT124" s="50"/>
      <c r="DU124" s="50"/>
      <c r="DV124" s="50"/>
      <c r="DW124" s="50"/>
      <c r="DX124" s="50"/>
      <c r="DY124" s="50"/>
      <c r="DZ124" s="50"/>
      <c r="EA124" s="50"/>
      <c r="EB124" s="50"/>
      <c r="EC124" s="50"/>
      <c r="ED124" s="50"/>
      <c r="EE124" s="50"/>
      <c r="EF124" s="50"/>
      <c r="EG124" s="50"/>
      <c r="EH124" s="50"/>
      <c r="EI124" s="50"/>
      <c r="EJ124" s="50"/>
      <c r="EK124" s="50"/>
      <c r="EL124" s="50"/>
      <c r="EM124" s="50"/>
      <c r="EN124" s="50"/>
      <c r="EO124" s="50"/>
      <c r="EP124" s="50"/>
      <c r="EQ124" s="50"/>
      <c r="ER124" s="50"/>
      <c r="ES124" s="50"/>
      <c r="ET124" s="50"/>
      <c r="EU124" s="50"/>
      <c r="EV124" s="50"/>
      <c r="EW124" s="50"/>
      <c r="EX124" s="50"/>
      <c r="EY124" s="50"/>
      <c r="EZ124" s="50"/>
      <c r="FA124" s="50"/>
      <c r="FB124" s="50"/>
      <c r="FC124" s="50"/>
      <c r="FD124" s="50"/>
      <c r="FE124" s="50"/>
      <c r="FF124" s="50"/>
      <c r="FG124" s="50"/>
      <c r="FH124" s="50"/>
      <c r="FI124" s="50"/>
      <c r="FJ124" s="50"/>
      <c r="FK124" s="50"/>
      <c r="FL124" s="50"/>
      <c r="FM124" s="50"/>
      <c r="FN124" s="50"/>
      <c r="FO124" s="50"/>
      <c r="FP124" s="50"/>
      <c r="FQ124" s="50"/>
      <c r="FR124" s="50"/>
      <c r="FS124" s="50"/>
      <c r="FT124" s="50"/>
      <c r="FU124" s="50"/>
      <c r="FV124" s="50"/>
      <c r="FW124" s="50"/>
      <c r="FX124" s="50"/>
      <c r="FY124" s="50"/>
      <c r="FZ124" s="50"/>
      <c r="GA124" s="50"/>
      <c r="GB124" s="50"/>
      <c r="GC124" s="50"/>
      <c r="GD124" s="50"/>
      <c r="GE124" s="50"/>
      <c r="GF124" s="50"/>
      <c r="GG124" s="50"/>
      <c r="GH124" s="50"/>
      <c r="GI124" s="50"/>
      <c r="GJ124" s="50"/>
      <c r="GK124" s="50"/>
      <c r="GL124" s="50"/>
      <c r="GM124" s="50"/>
      <c r="GN124" s="50"/>
      <c r="GO124" s="50"/>
      <c r="GP124" s="50"/>
      <c r="GQ124" s="50"/>
      <c r="GR124" s="50"/>
      <c r="GS124" s="50"/>
      <c r="GT124" s="50"/>
      <c r="GU124" s="50"/>
      <c r="GV124" s="50"/>
      <c r="GW124" s="50"/>
      <c r="GX124" s="50"/>
      <c r="GY124" s="50"/>
      <c r="GZ124" s="50"/>
      <c r="HA124" s="50"/>
    </row>
    <row r="125" s="51" customFormat="1" spans="1:209">
      <c r="A125" s="50"/>
      <c r="B125" s="50"/>
      <c r="C125" s="50"/>
      <c r="D125" s="50"/>
      <c r="E125" s="50"/>
      <c r="F125" s="50"/>
      <c r="G125" s="50"/>
      <c r="H125" s="58" t="s">
        <v>88</v>
      </c>
      <c r="I125" s="58" t="s">
        <v>309</v>
      </c>
      <c r="J125" s="59">
        <v>15601</v>
      </c>
      <c r="K125" s="59">
        <v>78839</v>
      </c>
      <c r="L125" s="59">
        <v>319812</v>
      </c>
      <c r="M125" s="59">
        <v>617</v>
      </c>
      <c r="N125" s="59">
        <v>414869</v>
      </c>
      <c r="O125" s="63">
        <v>451885</v>
      </c>
      <c r="P125" s="63">
        <f t="shared" si="3"/>
        <v>37016</v>
      </c>
      <c r="Q125" s="50">
        <v>1</v>
      </c>
      <c r="R125" s="50">
        <v>1</v>
      </c>
      <c r="S125" s="69" t="s">
        <v>88</v>
      </c>
      <c r="T125" s="50"/>
      <c r="U125" s="52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  <c r="CB125" s="50"/>
      <c r="CC125" s="50"/>
      <c r="CD125" s="50"/>
      <c r="CE125" s="50"/>
      <c r="CF125" s="50"/>
      <c r="CG125" s="50"/>
      <c r="CH125" s="50"/>
      <c r="CI125" s="50"/>
      <c r="CJ125" s="50"/>
      <c r="CK125" s="50"/>
      <c r="CL125" s="50"/>
      <c r="CM125" s="50"/>
      <c r="CN125" s="50"/>
      <c r="CO125" s="50"/>
      <c r="CP125" s="50"/>
      <c r="CQ125" s="50"/>
      <c r="CR125" s="50"/>
      <c r="CS125" s="50"/>
      <c r="CT125" s="50"/>
      <c r="CU125" s="50"/>
      <c r="CV125" s="50"/>
      <c r="CW125" s="50"/>
      <c r="CX125" s="50"/>
      <c r="CY125" s="50"/>
      <c r="CZ125" s="50"/>
      <c r="DA125" s="50"/>
      <c r="DB125" s="50"/>
      <c r="DC125" s="50"/>
      <c r="DD125" s="50"/>
      <c r="DE125" s="50"/>
      <c r="DF125" s="50"/>
      <c r="DG125" s="50"/>
      <c r="DH125" s="50"/>
      <c r="DI125" s="50"/>
      <c r="DJ125" s="50"/>
      <c r="DK125" s="50"/>
      <c r="DL125" s="50"/>
      <c r="DM125" s="50"/>
      <c r="DN125" s="50"/>
      <c r="DO125" s="50"/>
      <c r="DP125" s="50"/>
      <c r="DQ125" s="50"/>
      <c r="DR125" s="50"/>
      <c r="DS125" s="50"/>
      <c r="DT125" s="50"/>
      <c r="DU125" s="50"/>
      <c r="DV125" s="50"/>
      <c r="DW125" s="50"/>
      <c r="DX125" s="50"/>
      <c r="DY125" s="50"/>
      <c r="DZ125" s="50"/>
      <c r="EA125" s="50"/>
      <c r="EB125" s="50"/>
      <c r="EC125" s="50"/>
      <c r="ED125" s="50"/>
      <c r="EE125" s="50"/>
      <c r="EF125" s="50"/>
      <c r="EG125" s="50"/>
      <c r="EH125" s="50"/>
      <c r="EI125" s="50"/>
      <c r="EJ125" s="50"/>
      <c r="EK125" s="50"/>
      <c r="EL125" s="50"/>
      <c r="EM125" s="50"/>
      <c r="EN125" s="50"/>
      <c r="EO125" s="50"/>
      <c r="EP125" s="50"/>
      <c r="EQ125" s="50"/>
      <c r="ER125" s="50"/>
      <c r="ES125" s="50"/>
      <c r="ET125" s="50"/>
      <c r="EU125" s="50"/>
      <c r="EV125" s="50"/>
      <c r="EW125" s="50"/>
      <c r="EX125" s="50"/>
      <c r="EY125" s="50"/>
      <c r="EZ125" s="50"/>
      <c r="FA125" s="50"/>
      <c r="FB125" s="50"/>
      <c r="FC125" s="50"/>
      <c r="FD125" s="50"/>
      <c r="FE125" s="50"/>
      <c r="FF125" s="50"/>
      <c r="FG125" s="50"/>
      <c r="FH125" s="50"/>
      <c r="FI125" s="50"/>
      <c r="FJ125" s="50"/>
      <c r="FK125" s="50"/>
      <c r="FL125" s="50"/>
      <c r="FM125" s="50"/>
      <c r="FN125" s="50"/>
      <c r="FO125" s="50"/>
      <c r="FP125" s="50"/>
      <c r="FQ125" s="50"/>
      <c r="FR125" s="50"/>
      <c r="FS125" s="50"/>
      <c r="FT125" s="50"/>
      <c r="FU125" s="50"/>
      <c r="FV125" s="50"/>
      <c r="FW125" s="50"/>
      <c r="FX125" s="50"/>
      <c r="FY125" s="50"/>
      <c r="FZ125" s="50"/>
      <c r="GA125" s="50"/>
      <c r="GB125" s="50"/>
      <c r="GC125" s="50"/>
      <c r="GD125" s="50"/>
      <c r="GE125" s="50"/>
      <c r="GF125" s="50"/>
      <c r="GG125" s="50"/>
      <c r="GH125" s="50"/>
      <c r="GI125" s="50"/>
      <c r="GJ125" s="50"/>
      <c r="GK125" s="50"/>
      <c r="GL125" s="50"/>
      <c r="GM125" s="50"/>
      <c r="GN125" s="50"/>
      <c r="GO125" s="50"/>
      <c r="GP125" s="50"/>
      <c r="GQ125" s="50"/>
      <c r="GR125" s="50"/>
      <c r="GS125" s="50"/>
      <c r="GT125" s="50"/>
      <c r="GU125" s="50"/>
      <c r="GV125" s="50"/>
      <c r="GW125" s="50"/>
      <c r="GX125" s="50"/>
      <c r="GY125" s="50"/>
      <c r="GZ125" s="50"/>
      <c r="HA125" s="50"/>
    </row>
    <row r="126" s="51" customFormat="1" spans="1:209">
      <c r="A126" s="50"/>
      <c r="B126" s="50"/>
      <c r="C126" s="50"/>
      <c r="D126" s="50"/>
      <c r="E126" s="50"/>
      <c r="F126" s="50"/>
      <c r="G126" s="50"/>
      <c r="H126" s="58" t="s">
        <v>132</v>
      </c>
      <c r="I126" s="58" t="s">
        <v>375</v>
      </c>
      <c r="J126" s="59">
        <v>15256</v>
      </c>
      <c r="K126" s="59">
        <v>87623</v>
      </c>
      <c r="L126" s="59">
        <v>351877</v>
      </c>
      <c r="M126" s="59">
        <v>14091</v>
      </c>
      <c r="N126" s="59">
        <v>468847</v>
      </c>
      <c r="O126" s="63">
        <v>401060</v>
      </c>
      <c r="P126" s="63">
        <f t="shared" si="3"/>
        <v>-67787</v>
      </c>
      <c r="Q126" s="50"/>
      <c r="R126" s="50">
        <v>1</v>
      </c>
      <c r="S126" s="69" t="s">
        <v>132</v>
      </c>
      <c r="T126" s="50"/>
      <c r="U126" s="52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0"/>
      <c r="CD126" s="50"/>
      <c r="CE126" s="50"/>
      <c r="CF126" s="50"/>
      <c r="CG126" s="50"/>
      <c r="CH126" s="50"/>
      <c r="CI126" s="50"/>
      <c r="CJ126" s="50"/>
      <c r="CK126" s="50"/>
      <c r="CL126" s="50"/>
      <c r="CM126" s="50"/>
      <c r="CN126" s="50"/>
      <c r="CO126" s="50"/>
      <c r="CP126" s="50"/>
      <c r="CQ126" s="50"/>
      <c r="CR126" s="50"/>
      <c r="CS126" s="50"/>
      <c r="CT126" s="50"/>
      <c r="CU126" s="50"/>
      <c r="CV126" s="50"/>
      <c r="CW126" s="50"/>
      <c r="CX126" s="50"/>
      <c r="CY126" s="50"/>
      <c r="CZ126" s="50"/>
      <c r="DA126" s="50"/>
      <c r="DB126" s="50"/>
      <c r="DC126" s="50"/>
      <c r="DD126" s="50"/>
      <c r="DE126" s="50"/>
      <c r="DF126" s="50"/>
      <c r="DG126" s="50"/>
      <c r="DH126" s="50"/>
      <c r="DI126" s="50"/>
      <c r="DJ126" s="50"/>
      <c r="DK126" s="50"/>
      <c r="DL126" s="50"/>
      <c r="DM126" s="50"/>
      <c r="DN126" s="50"/>
      <c r="DO126" s="50"/>
      <c r="DP126" s="50"/>
      <c r="DQ126" s="50"/>
      <c r="DR126" s="50"/>
      <c r="DS126" s="50"/>
      <c r="DT126" s="50"/>
      <c r="DU126" s="50"/>
      <c r="DV126" s="50"/>
      <c r="DW126" s="50"/>
      <c r="DX126" s="50"/>
      <c r="DY126" s="50"/>
      <c r="DZ126" s="50"/>
      <c r="EA126" s="50"/>
      <c r="EB126" s="50"/>
      <c r="EC126" s="50"/>
      <c r="ED126" s="50"/>
      <c r="EE126" s="50"/>
      <c r="EF126" s="50"/>
      <c r="EG126" s="50"/>
      <c r="EH126" s="50"/>
      <c r="EI126" s="50"/>
      <c r="EJ126" s="50"/>
      <c r="EK126" s="50"/>
      <c r="EL126" s="50"/>
      <c r="EM126" s="50"/>
      <c r="EN126" s="50"/>
      <c r="EO126" s="50"/>
      <c r="EP126" s="50"/>
      <c r="EQ126" s="50"/>
      <c r="ER126" s="50"/>
      <c r="ES126" s="50"/>
      <c r="ET126" s="50"/>
      <c r="EU126" s="50"/>
      <c r="EV126" s="50"/>
      <c r="EW126" s="50"/>
      <c r="EX126" s="50"/>
      <c r="EY126" s="50"/>
      <c r="EZ126" s="50"/>
      <c r="FA126" s="50"/>
      <c r="FB126" s="50"/>
      <c r="FC126" s="50"/>
      <c r="FD126" s="50"/>
      <c r="FE126" s="50"/>
      <c r="FF126" s="50"/>
      <c r="FG126" s="50"/>
      <c r="FH126" s="50"/>
      <c r="FI126" s="50"/>
      <c r="FJ126" s="50"/>
      <c r="FK126" s="50"/>
      <c r="FL126" s="50"/>
      <c r="FM126" s="50"/>
      <c r="FN126" s="50"/>
      <c r="FO126" s="50"/>
      <c r="FP126" s="50"/>
      <c r="FQ126" s="50"/>
      <c r="FR126" s="50"/>
      <c r="FS126" s="50"/>
      <c r="FT126" s="50"/>
      <c r="FU126" s="50"/>
      <c r="FV126" s="50"/>
      <c r="FW126" s="50"/>
      <c r="FX126" s="50"/>
      <c r="FY126" s="50"/>
      <c r="FZ126" s="50"/>
      <c r="GA126" s="50"/>
      <c r="GB126" s="50"/>
      <c r="GC126" s="50"/>
      <c r="GD126" s="50"/>
      <c r="GE126" s="50"/>
      <c r="GF126" s="50"/>
      <c r="GG126" s="50"/>
      <c r="GH126" s="50"/>
      <c r="GI126" s="50"/>
      <c r="GJ126" s="50"/>
      <c r="GK126" s="50"/>
      <c r="GL126" s="50"/>
      <c r="GM126" s="50"/>
      <c r="GN126" s="50"/>
      <c r="GO126" s="50"/>
      <c r="GP126" s="50"/>
      <c r="GQ126" s="50"/>
      <c r="GR126" s="50"/>
      <c r="GS126" s="50"/>
      <c r="GT126" s="50"/>
      <c r="GU126" s="50"/>
      <c r="GV126" s="50"/>
      <c r="GW126" s="50"/>
      <c r="GX126" s="50"/>
      <c r="GY126" s="50"/>
      <c r="GZ126" s="50"/>
      <c r="HA126" s="50"/>
    </row>
    <row r="127" s="51" customFormat="1" spans="1:209">
      <c r="A127" s="50"/>
      <c r="B127" s="50"/>
      <c r="C127" s="50"/>
      <c r="D127" s="50"/>
      <c r="E127" s="50"/>
      <c r="F127" s="50"/>
      <c r="G127" s="50"/>
      <c r="H127" s="58" t="s">
        <v>132</v>
      </c>
      <c r="I127" s="58" t="s">
        <v>376</v>
      </c>
      <c r="J127" s="59">
        <v>24811</v>
      </c>
      <c r="K127" s="59">
        <v>124096</v>
      </c>
      <c r="L127" s="59">
        <v>587301</v>
      </c>
      <c r="M127" s="59">
        <v>18879</v>
      </c>
      <c r="N127" s="67">
        <v>755087</v>
      </c>
      <c r="O127" s="66">
        <v>815538</v>
      </c>
      <c r="P127" s="66">
        <f t="shared" si="3"/>
        <v>60451</v>
      </c>
      <c r="Q127" s="50"/>
      <c r="R127" s="50">
        <v>1</v>
      </c>
      <c r="S127" s="69" t="s">
        <v>132</v>
      </c>
      <c r="T127" s="50"/>
      <c r="U127" s="52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0"/>
      <c r="CD127" s="50"/>
      <c r="CE127" s="50"/>
      <c r="CF127" s="50"/>
      <c r="CG127" s="50"/>
      <c r="CH127" s="50"/>
      <c r="CI127" s="50"/>
      <c r="CJ127" s="50"/>
      <c r="CK127" s="50"/>
      <c r="CL127" s="50"/>
      <c r="CM127" s="50"/>
      <c r="CN127" s="50"/>
      <c r="CO127" s="50"/>
      <c r="CP127" s="50"/>
      <c r="CQ127" s="50"/>
      <c r="CR127" s="50"/>
      <c r="CS127" s="50"/>
      <c r="CT127" s="50"/>
      <c r="CU127" s="50"/>
      <c r="CV127" s="50"/>
      <c r="CW127" s="50"/>
      <c r="CX127" s="50"/>
      <c r="CY127" s="50"/>
      <c r="CZ127" s="50"/>
      <c r="DA127" s="50"/>
      <c r="DB127" s="50"/>
      <c r="DC127" s="50"/>
      <c r="DD127" s="50"/>
      <c r="DE127" s="50"/>
      <c r="DF127" s="50"/>
      <c r="DG127" s="50"/>
      <c r="DH127" s="50"/>
      <c r="DI127" s="50"/>
      <c r="DJ127" s="50"/>
      <c r="DK127" s="50"/>
      <c r="DL127" s="50"/>
      <c r="DM127" s="50"/>
      <c r="DN127" s="50"/>
      <c r="DO127" s="50"/>
      <c r="DP127" s="50"/>
      <c r="DQ127" s="50"/>
      <c r="DR127" s="50"/>
      <c r="DS127" s="50"/>
      <c r="DT127" s="50"/>
      <c r="DU127" s="50"/>
      <c r="DV127" s="50"/>
      <c r="DW127" s="50"/>
      <c r="DX127" s="50"/>
      <c r="DY127" s="50"/>
      <c r="DZ127" s="50"/>
      <c r="EA127" s="50"/>
      <c r="EB127" s="50"/>
      <c r="EC127" s="50"/>
      <c r="ED127" s="50"/>
      <c r="EE127" s="50"/>
      <c r="EF127" s="50"/>
      <c r="EG127" s="50"/>
      <c r="EH127" s="50"/>
      <c r="EI127" s="50"/>
      <c r="EJ127" s="50"/>
      <c r="EK127" s="50"/>
      <c r="EL127" s="50"/>
      <c r="EM127" s="50"/>
      <c r="EN127" s="50"/>
      <c r="EO127" s="50"/>
      <c r="EP127" s="50"/>
      <c r="EQ127" s="50"/>
      <c r="ER127" s="50"/>
      <c r="ES127" s="50"/>
      <c r="ET127" s="50"/>
      <c r="EU127" s="50"/>
      <c r="EV127" s="50"/>
      <c r="EW127" s="50"/>
      <c r="EX127" s="50"/>
      <c r="EY127" s="50"/>
      <c r="EZ127" s="50"/>
      <c r="FA127" s="50"/>
      <c r="FB127" s="50"/>
      <c r="FC127" s="50"/>
      <c r="FD127" s="50"/>
      <c r="FE127" s="50"/>
      <c r="FF127" s="50"/>
      <c r="FG127" s="50"/>
      <c r="FH127" s="50"/>
      <c r="FI127" s="50"/>
      <c r="FJ127" s="50"/>
      <c r="FK127" s="50"/>
      <c r="FL127" s="50"/>
      <c r="FM127" s="50"/>
      <c r="FN127" s="50"/>
      <c r="FO127" s="50"/>
      <c r="FP127" s="50"/>
      <c r="FQ127" s="50"/>
      <c r="FR127" s="50"/>
      <c r="FS127" s="50"/>
      <c r="FT127" s="50"/>
      <c r="FU127" s="50"/>
      <c r="FV127" s="50"/>
      <c r="FW127" s="50"/>
      <c r="FX127" s="50"/>
      <c r="FY127" s="50"/>
      <c r="FZ127" s="50"/>
      <c r="GA127" s="50"/>
      <c r="GB127" s="50"/>
      <c r="GC127" s="50"/>
      <c r="GD127" s="50"/>
      <c r="GE127" s="50"/>
      <c r="GF127" s="50"/>
      <c r="GG127" s="50"/>
      <c r="GH127" s="50"/>
      <c r="GI127" s="50"/>
      <c r="GJ127" s="50"/>
      <c r="GK127" s="50"/>
      <c r="GL127" s="50"/>
      <c r="GM127" s="50"/>
      <c r="GN127" s="50"/>
      <c r="GO127" s="50"/>
      <c r="GP127" s="50"/>
      <c r="GQ127" s="50"/>
      <c r="GR127" s="50"/>
      <c r="GS127" s="50"/>
      <c r="GT127" s="50"/>
      <c r="GU127" s="50"/>
      <c r="GV127" s="50"/>
      <c r="GW127" s="50"/>
      <c r="GX127" s="50"/>
      <c r="GY127" s="50"/>
      <c r="GZ127" s="50"/>
      <c r="HA127" s="50"/>
    </row>
    <row r="128" s="51" customFormat="1" spans="1:209">
      <c r="A128" s="50"/>
      <c r="B128" s="50"/>
      <c r="C128" s="50"/>
      <c r="D128" s="50"/>
      <c r="E128" s="50"/>
      <c r="F128" s="50"/>
      <c r="G128" s="50"/>
      <c r="H128" s="58" t="s">
        <v>132</v>
      </c>
      <c r="I128" s="58" t="s">
        <v>377</v>
      </c>
      <c r="J128" s="59">
        <v>4450</v>
      </c>
      <c r="K128" s="59">
        <v>21790</v>
      </c>
      <c r="L128" s="59">
        <v>88924</v>
      </c>
      <c r="M128" s="59">
        <v>956</v>
      </c>
      <c r="N128" s="59">
        <v>116120</v>
      </c>
      <c r="O128" s="63" t="e">
        <v>#N/A</v>
      </c>
      <c r="P128" s="63" t="e">
        <f t="shared" si="3"/>
        <v>#N/A</v>
      </c>
      <c r="Q128" s="50"/>
      <c r="R128" s="50">
        <v>1</v>
      </c>
      <c r="S128" s="69" t="s">
        <v>132</v>
      </c>
      <c r="T128" s="50"/>
      <c r="U128" s="52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  <c r="BU128" s="50"/>
      <c r="BV128" s="50"/>
      <c r="BW128" s="50"/>
      <c r="BX128" s="50"/>
      <c r="BY128" s="50"/>
      <c r="BZ128" s="50"/>
      <c r="CA128" s="50"/>
      <c r="CB128" s="50"/>
      <c r="CC128" s="50"/>
      <c r="CD128" s="50"/>
      <c r="CE128" s="50"/>
      <c r="CF128" s="50"/>
      <c r="CG128" s="50"/>
      <c r="CH128" s="50"/>
      <c r="CI128" s="50"/>
      <c r="CJ128" s="50"/>
      <c r="CK128" s="50"/>
      <c r="CL128" s="50"/>
      <c r="CM128" s="50"/>
      <c r="CN128" s="50"/>
      <c r="CO128" s="50"/>
      <c r="CP128" s="50"/>
      <c r="CQ128" s="50"/>
      <c r="CR128" s="50"/>
      <c r="CS128" s="50"/>
      <c r="CT128" s="50"/>
      <c r="CU128" s="50"/>
      <c r="CV128" s="50"/>
      <c r="CW128" s="50"/>
      <c r="CX128" s="50"/>
      <c r="CY128" s="50"/>
      <c r="CZ128" s="50"/>
      <c r="DA128" s="50"/>
      <c r="DB128" s="50"/>
      <c r="DC128" s="50"/>
      <c r="DD128" s="50"/>
      <c r="DE128" s="50"/>
      <c r="DF128" s="50"/>
      <c r="DG128" s="50"/>
      <c r="DH128" s="50"/>
      <c r="DI128" s="50"/>
      <c r="DJ128" s="50"/>
      <c r="DK128" s="50"/>
      <c r="DL128" s="50"/>
      <c r="DM128" s="50"/>
      <c r="DN128" s="50"/>
      <c r="DO128" s="50"/>
      <c r="DP128" s="50"/>
      <c r="DQ128" s="50"/>
      <c r="DR128" s="50"/>
      <c r="DS128" s="50"/>
      <c r="DT128" s="50"/>
      <c r="DU128" s="50"/>
      <c r="DV128" s="50"/>
      <c r="DW128" s="50"/>
      <c r="DX128" s="50"/>
      <c r="DY128" s="50"/>
      <c r="DZ128" s="50"/>
      <c r="EA128" s="50"/>
      <c r="EB128" s="50"/>
      <c r="EC128" s="50"/>
      <c r="ED128" s="50"/>
      <c r="EE128" s="50"/>
      <c r="EF128" s="50"/>
      <c r="EG128" s="50"/>
      <c r="EH128" s="50"/>
      <c r="EI128" s="50"/>
      <c r="EJ128" s="50"/>
      <c r="EK128" s="50"/>
      <c r="EL128" s="50"/>
      <c r="EM128" s="50"/>
      <c r="EN128" s="50"/>
      <c r="EO128" s="50"/>
      <c r="EP128" s="50"/>
      <c r="EQ128" s="50"/>
      <c r="ER128" s="50"/>
      <c r="ES128" s="50"/>
      <c r="ET128" s="50"/>
      <c r="EU128" s="50"/>
      <c r="EV128" s="50"/>
      <c r="EW128" s="50"/>
      <c r="EX128" s="50"/>
      <c r="EY128" s="50"/>
      <c r="EZ128" s="50"/>
      <c r="FA128" s="50"/>
      <c r="FB128" s="50"/>
      <c r="FC128" s="50"/>
      <c r="FD128" s="50"/>
      <c r="FE128" s="50"/>
      <c r="FF128" s="50"/>
      <c r="FG128" s="50"/>
      <c r="FH128" s="50"/>
      <c r="FI128" s="50"/>
      <c r="FJ128" s="50"/>
      <c r="FK128" s="50"/>
      <c r="FL128" s="50"/>
      <c r="FM128" s="50"/>
      <c r="FN128" s="50"/>
      <c r="FO128" s="50"/>
      <c r="FP128" s="50"/>
      <c r="FQ128" s="50"/>
      <c r="FR128" s="50"/>
      <c r="FS128" s="50"/>
      <c r="FT128" s="50"/>
      <c r="FU128" s="50"/>
      <c r="FV128" s="50"/>
      <c r="FW128" s="50"/>
      <c r="FX128" s="50"/>
      <c r="FY128" s="50"/>
      <c r="FZ128" s="50"/>
      <c r="GA128" s="50"/>
      <c r="GB128" s="50"/>
      <c r="GC128" s="50"/>
      <c r="GD128" s="50"/>
      <c r="GE128" s="50"/>
      <c r="GF128" s="50"/>
      <c r="GG128" s="50"/>
      <c r="GH128" s="50"/>
      <c r="GI128" s="50"/>
      <c r="GJ128" s="50"/>
      <c r="GK128" s="50"/>
      <c r="GL128" s="50"/>
      <c r="GM128" s="50"/>
      <c r="GN128" s="50"/>
      <c r="GO128" s="50"/>
      <c r="GP128" s="50"/>
      <c r="GQ128" s="50"/>
      <c r="GR128" s="50"/>
      <c r="GS128" s="50"/>
      <c r="GT128" s="50"/>
      <c r="GU128" s="50"/>
      <c r="GV128" s="50"/>
      <c r="GW128" s="50"/>
      <c r="GX128" s="50"/>
      <c r="GY128" s="50"/>
      <c r="GZ128" s="50"/>
      <c r="HA128" s="50"/>
    </row>
    <row r="129" s="51" customFormat="1" spans="1:209">
      <c r="A129" s="50"/>
      <c r="B129" s="50"/>
      <c r="C129" s="50"/>
      <c r="D129" s="50"/>
      <c r="E129" s="50"/>
      <c r="F129" s="50"/>
      <c r="G129" s="50"/>
      <c r="H129" s="58" t="s">
        <v>132</v>
      </c>
      <c r="I129" s="58" t="s">
        <v>352</v>
      </c>
      <c r="J129" s="59">
        <v>10817</v>
      </c>
      <c r="K129" s="59">
        <v>40708</v>
      </c>
      <c r="L129" s="59">
        <v>371617</v>
      </c>
      <c r="M129" s="59">
        <v>44117</v>
      </c>
      <c r="N129" s="59">
        <v>467259</v>
      </c>
      <c r="O129" s="63">
        <v>535082</v>
      </c>
      <c r="P129" s="63">
        <f t="shared" si="3"/>
        <v>67823</v>
      </c>
      <c r="Q129" s="50">
        <v>1</v>
      </c>
      <c r="R129" s="50">
        <v>1</v>
      </c>
      <c r="S129" s="69" t="s">
        <v>132</v>
      </c>
      <c r="T129" s="50"/>
      <c r="U129" s="52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  <c r="BU129" s="50"/>
      <c r="BV129" s="50"/>
      <c r="BW129" s="50"/>
      <c r="BX129" s="50"/>
      <c r="BY129" s="50"/>
      <c r="BZ129" s="50"/>
      <c r="CA129" s="50"/>
      <c r="CB129" s="50"/>
      <c r="CC129" s="50"/>
      <c r="CD129" s="50"/>
      <c r="CE129" s="50"/>
      <c r="CF129" s="50"/>
      <c r="CG129" s="50"/>
      <c r="CH129" s="50"/>
      <c r="CI129" s="50"/>
      <c r="CJ129" s="50"/>
      <c r="CK129" s="50"/>
      <c r="CL129" s="50"/>
      <c r="CM129" s="50"/>
      <c r="CN129" s="50"/>
      <c r="CO129" s="50"/>
      <c r="CP129" s="50"/>
      <c r="CQ129" s="50"/>
      <c r="CR129" s="50"/>
      <c r="CS129" s="50"/>
      <c r="CT129" s="50"/>
      <c r="CU129" s="50"/>
      <c r="CV129" s="50"/>
      <c r="CW129" s="50"/>
      <c r="CX129" s="50"/>
      <c r="CY129" s="50"/>
      <c r="CZ129" s="50"/>
      <c r="DA129" s="50"/>
      <c r="DB129" s="50"/>
      <c r="DC129" s="50"/>
      <c r="DD129" s="50"/>
      <c r="DE129" s="50"/>
      <c r="DF129" s="50"/>
      <c r="DG129" s="50"/>
      <c r="DH129" s="50"/>
      <c r="DI129" s="50"/>
      <c r="DJ129" s="50"/>
      <c r="DK129" s="50"/>
      <c r="DL129" s="50"/>
      <c r="DM129" s="50"/>
      <c r="DN129" s="50"/>
      <c r="DO129" s="50"/>
      <c r="DP129" s="50"/>
      <c r="DQ129" s="50"/>
      <c r="DR129" s="50"/>
      <c r="DS129" s="50"/>
      <c r="DT129" s="50"/>
      <c r="DU129" s="50"/>
      <c r="DV129" s="50"/>
      <c r="DW129" s="50"/>
      <c r="DX129" s="50"/>
      <c r="DY129" s="50"/>
      <c r="DZ129" s="50"/>
      <c r="EA129" s="50"/>
      <c r="EB129" s="50"/>
      <c r="EC129" s="50"/>
      <c r="ED129" s="50"/>
      <c r="EE129" s="50"/>
      <c r="EF129" s="50"/>
      <c r="EG129" s="50"/>
      <c r="EH129" s="50"/>
      <c r="EI129" s="50"/>
      <c r="EJ129" s="50"/>
      <c r="EK129" s="50"/>
      <c r="EL129" s="50"/>
      <c r="EM129" s="50"/>
      <c r="EN129" s="50"/>
      <c r="EO129" s="50"/>
      <c r="EP129" s="50"/>
      <c r="EQ129" s="50"/>
      <c r="ER129" s="50"/>
      <c r="ES129" s="50"/>
      <c r="ET129" s="50"/>
      <c r="EU129" s="50"/>
      <c r="EV129" s="50"/>
      <c r="EW129" s="50"/>
      <c r="EX129" s="50"/>
      <c r="EY129" s="50"/>
      <c r="EZ129" s="50"/>
      <c r="FA129" s="50"/>
      <c r="FB129" s="50"/>
      <c r="FC129" s="50"/>
      <c r="FD129" s="50"/>
      <c r="FE129" s="50"/>
      <c r="FF129" s="50"/>
      <c r="FG129" s="50"/>
      <c r="FH129" s="50"/>
      <c r="FI129" s="50"/>
      <c r="FJ129" s="50"/>
      <c r="FK129" s="50"/>
      <c r="FL129" s="50"/>
      <c r="FM129" s="50"/>
      <c r="FN129" s="50"/>
      <c r="FO129" s="50"/>
      <c r="FP129" s="50"/>
      <c r="FQ129" s="50"/>
      <c r="FR129" s="50"/>
      <c r="FS129" s="50"/>
      <c r="FT129" s="50"/>
      <c r="FU129" s="50"/>
      <c r="FV129" s="50"/>
      <c r="FW129" s="50"/>
      <c r="FX129" s="50"/>
      <c r="FY129" s="50"/>
      <c r="FZ129" s="50"/>
      <c r="GA129" s="50"/>
      <c r="GB129" s="50"/>
      <c r="GC129" s="50"/>
      <c r="GD129" s="50"/>
      <c r="GE129" s="50"/>
      <c r="GF129" s="50"/>
      <c r="GG129" s="50"/>
      <c r="GH129" s="50"/>
      <c r="GI129" s="50"/>
      <c r="GJ129" s="50"/>
      <c r="GK129" s="50"/>
      <c r="GL129" s="50"/>
      <c r="GM129" s="50"/>
      <c r="GN129" s="50"/>
      <c r="GO129" s="50"/>
      <c r="GP129" s="50"/>
      <c r="GQ129" s="50"/>
      <c r="GR129" s="50"/>
      <c r="GS129" s="50"/>
      <c r="GT129" s="50"/>
      <c r="GU129" s="50"/>
      <c r="GV129" s="50"/>
      <c r="GW129" s="50"/>
      <c r="GX129" s="50"/>
      <c r="GY129" s="50"/>
      <c r="GZ129" s="50"/>
      <c r="HA129" s="50"/>
    </row>
    <row r="130" s="51" customFormat="1" spans="1:209">
      <c r="A130" s="50"/>
      <c r="B130" s="50"/>
      <c r="C130" s="50"/>
      <c r="D130" s="50"/>
      <c r="E130" s="50"/>
      <c r="F130" s="50"/>
      <c r="G130" s="50"/>
      <c r="H130" s="58" t="s">
        <v>272</v>
      </c>
      <c r="I130" s="58" t="s">
        <v>378</v>
      </c>
      <c r="J130" s="59">
        <v>7771</v>
      </c>
      <c r="K130" s="59">
        <v>54079</v>
      </c>
      <c r="L130" s="59">
        <v>177728</v>
      </c>
      <c r="M130" s="59">
        <v>4435</v>
      </c>
      <c r="N130" s="59">
        <v>244013</v>
      </c>
      <c r="O130" s="63"/>
      <c r="P130" s="63">
        <f t="shared" si="3"/>
        <v>-244013</v>
      </c>
      <c r="Q130" s="50"/>
      <c r="R130" s="50"/>
      <c r="S130" s="69" t="s">
        <v>272</v>
      </c>
      <c r="T130" s="50"/>
      <c r="U130" s="52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0"/>
      <c r="BR130" s="50"/>
      <c r="BS130" s="50"/>
      <c r="BT130" s="50"/>
      <c r="BU130" s="50"/>
      <c r="BV130" s="50"/>
      <c r="BW130" s="50"/>
      <c r="BX130" s="50"/>
      <c r="BY130" s="50"/>
      <c r="BZ130" s="50"/>
      <c r="CA130" s="50"/>
      <c r="CB130" s="50"/>
      <c r="CC130" s="50"/>
      <c r="CD130" s="50"/>
      <c r="CE130" s="50"/>
      <c r="CF130" s="50"/>
      <c r="CG130" s="50"/>
      <c r="CH130" s="50"/>
      <c r="CI130" s="50"/>
      <c r="CJ130" s="50"/>
      <c r="CK130" s="50"/>
      <c r="CL130" s="50"/>
      <c r="CM130" s="50"/>
      <c r="CN130" s="50"/>
      <c r="CO130" s="50"/>
      <c r="CP130" s="50"/>
      <c r="CQ130" s="50"/>
      <c r="CR130" s="50"/>
      <c r="CS130" s="50"/>
      <c r="CT130" s="50"/>
      <c r="CU130" s="50"/>
      <c r="CV130" s="50"/>
      <c r="CW130" s="50"/>
      <c r="CX130" s="50"/>
      <c r="CY130" s="50"/>
      <c r="CZ130" s="50"/>
      <c r="DA130" s="50"/>
      <c r="DB130" s="50"/>
      <c r="DC130" s="50"/>
      <c r="DD130" s="50"/>
      <c r="DE130" s="50"/>
      <c r="DF130" s="50"/>
      <c r="DG130" s="50"/>
      <c r="DH130" s="50"/>
      <c r="DI130" s="50"/>
      <c r="DJ130" s="50"/>
      <c r="DK130" s="50"/>
      <c r="DL130" s="50"/>
      <c r="DM130" s="50"/>
      <c r="DN130" s="50"/>
      <c r="DO130" s="50"/>
      <c r="DP130" s="50"/>
      <c r="DQ130" s="50"/>
      <c r="DR130" s="50"/>
      <c r="DS130" s="50"/>
      <c r="DT130" s="50"/>
      <c r="DU130" s="50"/>
      <c r="DV130" s="50"/>
      <c r="DW130" s="50"/>
      <c r="DX130" s="50"/>
      <c r="DY130" s="50"/>
      <c r="DZ130" s="50"/>
      <c r="EA130" s="50"/>
      <c r="EB130" s="50"/>
      <c r="EC130" s="50"/>
      <c r="ED130" s="50"/>
      <c r="EE130" s="50"/>
      <c r="EF130" s="50"/>
      <c r="EG130" s="50"/>
      <c r="EH130" s="50"/>
      <c r="EI130" s="50"/>
      <c r="EJ130" s="50"/>
      <c r="EK130" s="50"/>
      <c r="EL130" s="50"/>
      <c r="EM130" s="50"/>
      <c r="EN130" s="50"/>
      <c r="EO130" s="50"/>
      <c r="EP130" s="50"/>
      <c r="EQ130" s="50"/>
      <c r="ER130" s="50"/>
      <c r="ES130" s="50"/>
      <c r="ET130" s="50"/>
      <c r="EU130" s="50"/>
      <c r="EV130" s="50"/>
      <c r="EW130" s="50"/>
      <c r="EX130" s="50"/>
      <c r="EY130" s="50"/>
      <c r="EZ130" s="50"/>
      <c r="FA130" s="50"/>
      <c r="FB130" s="50"/>
      <c r="FC130" s="50"/>
      <c r="FD130" s="50"/>
      <c r="FE130" s="50"/>
      <c r="FF130" s="50"/>
      <c r="FG130" s="50"/>
      <c r="FH130" s="50"/>
      <c r="FI130" s="50"/>
      <c r="FJ130" s="50"/>
      <c r="FK130" s="50"/>
      <c r="FL130" s="50"/>
      <c r="FM130" s="50"/>
      <c r="FN130" s="50"/>
      <c r="FO130" s="50"/>
      <c r="FP130" s="50"/>
      <c r="FQ130" s="50"/>
      <c r="FR130" s="50"/>
      <c r="FS130" s="50"/>
      <c r="FT130" s="50"/>
      <c r="FU130" s="50"/>
      <c r="FV130" s="50"/>
      <c r="FW130" s="50"/>
      <c r="FX130" s="50"/>
      <c r="FY130" s="50"/>
      <c r="FZ130" s="50"/>
      <c r="GA130" s="50"/>
      <c r="GB130" s="50"/>
      <c r="GC130" s="50"/>
      <c r="GD130" s="50"/>
      <c r="GE130" s="50"/>
      <c r="GF130" s="50"/>
      <c r="GG130" s="50"/>
      <c r="GH130" s="50"/>
      <c r="GI130" s="50"/>
      <c r="GJ130" s="50"/>
      <c r="GK130" s="50"/>
      <c r="GL130" s="50"/>
      <c r="GM130" s="50"/>
      <c r="GN130" s="50"/>
      <c r="GO130" s="50"/>
      <c r="GP130" s="50"/>
      <c r="GQ130" s="50"/>
      <c r="GR130" s="50"/>
      <c r="GS130" s="50"/>
      <c r="GT130" s="50"/>
      <c r="GU130" s="50"/>
      <c r="GV130" s="50"/>
      <c r="GW130" s="50"/>
      <c r="GX130" s="50"/>
      <c r="GY130" s="50"/>
      <c r="GZ130" s="50"/>
      <c r="HA130" s="50"/>
    </row>
    <row r="131" s="51" customFormat="1" spans="1:209">
      <c r="A131" s="50"/>
      <c r="B131" s="50"/>
      <c r="C131" s="50"/>
      <c r="D131" s="50"/>
      <c r="E131" s="50"/>
      <c r="F131" s="50"/>
      <c r="G131" s="50"/>
      <c r="H131" s="58" t="s">
        <v>272</v>
      </c>
      <c r="I131" s="58" t="s">
        <v>379</v>
      </c>
      <c r="J131" s="59">
        <v>3711</v>
      </c>
      <c r="K131" s="59">
        <v>25509</v>
      </c>
      <c r="L131" s="59">
        <v>190016</v>
      </c>
      <c r="M131" s="59">
        <v>5602</v>
      </c>
      <c r="N131" s="59">
        <v>224838</v>
      </c>
      <c r="O131" s="63"/>
      <c r="P131" s="63">
        <f t="shared" si="3"/>
        <v>-224838</v>
      </c>
      <c r="Q131" s="50"/>
      <c r="R131" s="50"/>
      <c r="S131" s="69" t="s">
        <v>272</v>
      </c>
      <c r="T131" s="50"/>
      <c r="U131" s="52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  <c r="BU131" s="50"/>
      <c r="BV131" s="50"/>
      <c r="BW131" s="50"/>
      <c r="BX131" s="50"/>
      <c r="BY131" s="50"/>
      <c r="BZ131" s="50"/>
      <c r="CA131" s="50"/>
      <c r="CB131" s="50"/>
      <c r="CC131" s="50"/>
      <c r="CD131" s="50"/>
      <c r="CE131" s="50"/>
      <c r="CF131" s="50"/>
      <c r="CG131" s="50"/>
      <c r="CH131" s="50"/>
      <c r="CI131" s="50"/>
      <c r="CJ131" s="50"/>
      <c r="CK131" s="50"/>
      <c r="CL131" s="50"/>
      <c r="CM131" s="50"/>
      <c r="CN131" s="50"/>
      <c r="CO131" s="50"/>
      <c r="CP131" s="50"/>
      <c r="CQ131" s="50"/>
      <c r="CR131" s="50"/>
      <c r="CS131" s="50"/>
      <c r="CT131" s="50"/>
      <c r="CU131" s="50"/>
      <c r="CV131" s="50"/>
      <c r="CW131" s="50"/>
      <c r="CX131" s="50"/>
      <c r="CY131" s="50"/>
      <c r="CZ131" s="50"/>
      <c r="DA131" s="50"/>
      <c r="DB131" s="50"/>
      <c r="DC131" s="50"/>
      <c r="DD131" s="50"/>
      <c r="DE131" s="50"/>
      <c r="DF131" s="50"/>
      <c r="DG131" s="50"/>
      <c r="DH131" s="50"/>
      <c r="DI131" s="50"/>
      <c r="DJ131" s="50"/>
      <c r="DK131" s="50"/>
      <c r="DL131" s="50"/>
      <c r="DM131" s="50"/>
      <c r="DN131" s="50"/>
      <c r="DO131" s="50"/>
      <c r="DP131" s="50"/>
      <c r="DQ131" s="50"/>
      <c r="DR131" s="50"/>
      <c r="DS131" s="50"/>
      <c r="DT131" s="50"/>
      <c r="DU131" s="50"/>
      <c r="DV131" s="50"/>
      <c r="DW131" s="50"/>
      <c r="DX131" s="50"/>
      <c r="DY131" s="50"/>
      <c r="DZ131" s="50"/>
      <c r="EA131" s="50"/>
      <c r="EB131" s="50"/>
      <c r="EC131" s="50"/>
      <c r="ED131" s="50"/>
      <c r="EE131" s="50"/>
      <c r="EF131" s="50"/>
      <c r="EG131" s="50"/>
      <c r="EH131" s="50"/>
      <c r="EI131" s="50"/>
      <c r="EJ131" s="50"/>
      <c r="EK131" s="50"/>
      <c r="EL131" s="50"/>
      <c r="EM131" s="50"/>
      <c r="EN131" s="50"/>
      <c r="EO131" s="50"/>
      <c r="EP131" s="50"/>
      <c r="EQ131" s="50"/>
      <c r="ER131" s="50"/>
      <c r="ES131" s="50"/>
      <c r="ET131" s="50"/>
      <c r="EU131" s="50"/>
      <c r="EV131" s="50"/>
      <c r="EW131" s="50"/>
      <c r="EX131" s="50"/>
      <c r="EY131" s="50"/>
      <c r="EZ131" s="50"/>
      <c r="FA131" s="50"/>
      <c r="FB131" s="50"/>
      <c r="FC131" s="50"/>
      <c r="FD131" s="50"/>
      <c r="FE131" s="50"/>
      <c r="FF131" s="50"/>
      <c r="FG131" s="50"/>
      <c r="FH131" s="50"/>
      <c r="FI131" s="50"/>
      <c r="FJ131" s="50"/>
      <c r="FK131" s="50"/>
      <c r="FL131" s="50"/>
      <c r="FM131" s="50"/>
      <c r="FN131" s="50"/>
      <c r="FO131" s="50"/>
      <c r="FP131" s="50"/>
      <c r="FQ131" s="50"/>
      <c r="FR131" s="50"/>
      <c r="FS131" s="50"/>
      <c r="FT131" s="50"/>
      <c r="FU131" s="50"/>
      <c r="FV131" s="50"/>
      <c r="FW131" s="50"/>
      <c r="FX131" s="50"/>
      <c r="FY131" s="50"/>
      <c r="FZ131" s="50"/>
      <c r="GA131" s="50"/>
      <c r="GB131" s="50"/>
      <c r="GC131" s="50"/>
      <c r="GD131" s="50"/>
      <c r="GE131" s="50"/>
      <c r="GF131" s="50"/>
      <c r="GG131" s="50"/>
      <c r="GH131" s="50"/>
      <c r="GI131" s="50"/>
      <c r="GJ131" s="50"/>
      <c r="GK131" s="50"/>
      <c r="GL131" s="50"/>
      <c r="GM131" s="50"/>
      <c r="GN131" s="50"/>
      <c r="GO131" s="50"/>
      <c r="GP131" s="50"/>
      <c r="GQ131" s="50"/>
      <c r="GR131" s="50"/>
      <c r="GS131" s="50"/>
      <c r="GT131" s="50"/>
      <c r="GU131" s="50"/>
      <c r="GV131" s="50"/>
      <c r="GW131" s="50"/>
      <c r="GX131" s="50"/>
      <c r="GY131" s="50"/>
      <c r="GZ131" s="50"/>
      <c r="HA131" s="50"/>
    </row>
    <row r="132" s="51" customFormat="1" spans="1:209">
      <c r="A132" s="50"/>
      <c r="B132" s="50"/>
      <c r="C132" s="50"/>
      <c r="D132" s="50"/>
      <c r="E132" s="50"/>
      <c r="F132" s="50"/>
      <c r="G132" s="50"/>
      <c r="H132" s="58" t="s">
        <v>272</v>
      </c>
      <c r="I132" s="58" t="s">
        <v>380</v>
      </c>
      <c r="J132" s="59">
        <v>4360</v>
      </c>
      <c r="K132" s="59">
        <v>16740</v>
      </c>
      <c r="L132" s="59">
        <v>116413</v>
      </c>
      <c r="M132" s="59">
        <v>5937</v>
      </c>
      <c r="N132" s="59">
        <v>143450</v>
      </c>
      <c r="O132" s="63"/>
      <c r="P132" s="63">
        <f t="shared" ref="P132:P163" si="4">O132-N132</f>
        <v>-143450</v>
      </c>
      <c r="Q132" s="50"/>
      <c r="R132" s="50"/>
      <c r="S132" s="69" t="s">
        <v>272</v>
      </c>
      <c r="T132" s="50"/>
      <c r="U132" s="52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0"/>
      <c r="BW132" s="50"/>
      <c r="BX132" s="50"/>
      <c r="BY132" s="50"/>
      <c r="BZ132" s="50"/>
      <c r="CA132" s="50"/>
      <c r="CB132" s="50"/>
      <c r="CC132" s="50"/>
      <c r="CD132" s="50"/>
      <c r="CE132" s="50"/>
      <c r="CF132" s="50"/>
      <c r="CG132" s="50"/>
      <c r="CH132" s="50"/>
      <c r="CI132" s="50"/>
      <c r="CJ132" s="50"/>
      <c r="CK132" s="50"/>
      <c r="CL132" s="50"/>
      <c r="CM132" s="50"/>
      <c r="CN132" s="50"/>
      <c r="CO132" s="50"/>
      <c r="CP132" s="50"/>
      <c r="CQ132" s="50"/>
      <c r="CR132" s="50"/>
      <c r="CS132" s="50"/>
      <c r="CT132" s="50"/>
      <c r="CU132" s="50"/>
      <c r="CV132" s="50"/>
      <c r="CW132" s="50"/>
      <c r="CX132" s="50"/>
      <c r="CY132" s="50"/>
      <c r="CZ132" s="50"/>
      <c r="DA132" s="50"/>
      <c r="DB132" s="50"/>
      <c r="DC132" s="50"/>
      <c r="DD132" s="50"/>
      <c r="DE132" s="50"/>
      <c r="DF132" s="50"/>
      <c r="DG132" s="50"/>
      <c r="DH132" s="50"/>
      <c r="DI132" s="50"/>
      <c r="DJ132" s="50"/>
      <c r="DK132" s="50"/>
      <c r="DL132" s="50"/>
      <c r="DM132" s="50"/>
      <c r="DN132" s="50"/>
      <c r="DO132" s="50"/>
      <c r="DP132" s="50"/>
      <c r="DQ132" s="50"/>
      <c r="DR132" s="50"/>
      <c r="DS132" s="50"/>
      <c r="DT132" s="50"/>
      <c r="DU132" s="50"/>
      <c r="DV132" s="50"/>
      <c r="DW132" s="50"/>
      <c r="DX132" s="50"/>
      <c r="DY132" s="50"/>
      <c r="DZ132" s="50"/>
      <c r="EA132" s="50"/>
      <c r="EB132" s="50"/>
      <c r="EC132" s="50"/>
      <c r="ED132" s="50"/>
      <c r="EE132" s="50"/>
      <c r="EF132" s="50"/>
      <c r="EG132" s="50"/>
      <c r="EH132" s="50"/>
      <c r="EI132" s="50"/>
      <c r="EJ132" s="50"/>
      <c r="EK132" s="50"/>
      <c r="EL132" s="50"/>
      <c r="EM132" s="50"/>
      <c r="EN132" s="50"/>
      <c r="EO132" s="50"/>
      <c r="EP132" s="50"/>
      <c r="EQ132" s="50"/>
      <c r="ER132" s="50"/>
      <c r="ES132" s="50"/>
      <c r="ET132" s="50"/>
      <c r="EU132" s="50"/>
      <c r="EV132" s="50"/>
      <c r="EW132" s="50"/>
      <c r="EX132" s="50"/>
      <c r="EY132" s="50"/>
      <c r="EZ132" s="50"/>
      <c r="FA132" s="50"/>
      <c r="FB132" s="50"/>
      <c r="FC132" s="50"/>
      <c r="FD132" s="50"/>
      <c r="FE132" s="50"/>
      <c r="FF132" s="50"/>
      <c r="FG132" s="50"/>
      <c r="FH132" s="50"/>
      <c r="FI132" s="50"/>
      <c r="FJ132" s="50"/>
      <c r="FK132" s="50"/>
      <c r="FL132" s="50"/>
      <c r="FM132" s="50"/>
      <c r="FN132" s="50"/>
      <c r="FO132" s="50"/>
      <c r="FP132" s="50"/>
      <c r="FQ132" s="50"/>
      <c r="FR132" s="50"/>
      <c r="FS132" s="50"/>
      <c r="FT132" s="50"/>
      <c r="FU132" s="50"/>
      <c r="FV132" s="50"/>
      <c r="FW132" s="50"/>
      <c r="FX132" s="50"/>
      <c r="FY132" s="50"/>
      <c r="FZ132" s="50"/>
      <c r="GA132" s="50"/>
      <c r="GB132" s="50"/>
      <c r="GC132" s="50"/>
      <c r="GD132" s="50"/>
      <c r="GE132" s="50"/>
      <c r="GF132" s="50"/>
      <c r="GG132" s="50"/>
      <c r="GH132" s="50"/>
      <c r="GI132" s="50"/>
      <c r="GJ132" s="50"/>
      <c r="GK132" s="50"/>
      <c r="GL132" s="50"/>
      <c r="GM132" s="50"/>
      <c r="GN132" s="50"/>
      <c r="GO132" s="50"/>
      <c r="GP132" s="50"/>
      <c r="GQ132" s="50"/>
      <c r="GR132" s="50"/>
      <c r="GS132" s="50"/>
      <c r="GT132" s="50"/>
      <c r="GU132" s="50"/>
      <c r="GV132" s="50"/>
      <c r="GW132" s="50"/>
      <c r="GX132" s="50"/>
      <c r="GY132" s="50"/>
      <c r="GZ132" s="50"/>
      <c r="HA132" s="50"/>
    </row>
    <row r="133" s="51" customFormat="1" spans="1:209">
      <c r="A133" s="50"/>
      <c r="B133" s="50"/>
      <c r="C133" s="50"/>
      <c r="D133" s="50"/>
      <c r="E133" s="50"/>
      <c r="F133" s="50"/>
      <c r="G133" s="50"/>
      <c r="H133" s="58" t="s">
        <v>272</v>
      </c>
      <c r="I133" s="58" t="s">
        <v>381</v>
      </c>
      <c r="J133" s="59">
        <v>2110</v>
      </c>
      <c r="K133" s="59">
        <v>11471</v>
      </c>
      <c r="L133" s="59">
        <v>73379</v>
      </c>
      <c r="M133" s="59">
        <v>1310</v>
      </c>
      <c r="N133" s="59">
        <v>88270</v>
      </c>
      <c r="O133" s="63"/>
      <c r="P133" s="63">
        <f t="shared" si="4"/>
        <v>-88270</v>
      </c>
      <c r="Q133" s="50"/>
      <c r="R133" s="50"/>
      <c r="S133" s="69" t="s">
        <v>272</v>
      </c>
      <c r="T133" s="50"/>
      <c r="U133" s="52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0"/>
      <c r="BW133" s="50"/>
      <c r="BX133" s="50"/>
      <c r="BY133" s="50"/>
      <c r="BZ133" s="50"/>
      <c r="CA133" s="50"/>
      <c r="CB133" s="50"/>
      <c r="CC133" s="50"/>
      <c r="CD133" s="50"/>
      <c r="CE133" s="50"/>
      <c r="CF133" s="50"/>
      <c r="CG133" s="50"/>
      <c r="CH133" s="50"/>
      <c r="CI133" s="50"/>
      <c r="CJ133" s="50"/>
      <c r="CK133" s="50"/>
      <c r="CL133" s="50"/>
      <c r="CM133" s="50"/>
      <c r="CN133" s="50"/>
      <c r="CO133" s="50"/>
      <c r="CP133" s="50"/>
      <c r="CQ133" s="50"/>
      <c r="CR133" s="50"/>
      <c r="CS133" s="50"/>
      <c r="CT133" s="50"/>
      <c r="CU133" s="50"/>
      <c r="CV133" s="50"/>
      <c r="CW133" s="50"/>
      <c r="CX133" s="50"/>
      <c r="CY133" s="50"/>
      <c r="CZ133" s="50"/>
      <c r="DA133" s="50"/>
      <c r="DB133" s="50"/>
      <c r="DC133" s="50"/>
      <c r="DD133" s="50"/>
      <c r="DE133" s="50"/>
      <c r="DF133" s="50"/>
      <c r="DG133" s="50"/>
      <c r="DH133" s="50"/>
      <c r="DI133" s="50"/>
      <c r="DJ133" s="50"/>
      <c r="DK133" s="50"/>
      <c r="DL133" s="50"/>
      <c r="DM133" s="50"/>
      <c r="DN133" s="50"/>
      <c r="DO133" s="50"/>
      <c r="DP133" s="50"/>
      <c r="DQ133" s="50"/>
      <c r="DR133" s="50"/>
      <c r="DS133" s="50"/>
      <c r="DT133" s="50"/>
      <c r="DU133" s="50"/>
      <c r="DV133" s="50"/>
      <c r="DW133" s="50"/>
      <c r="DX133" s="50"/>
      <c r="DY133" s="50"/>
      <c r="DZ133" s="50"/>
      <c r="EA133" s="50"/>
      <c r="EB133" s="50"/>
      <c r="EC133" s="50"/>
      <c r="ED133" s="50"/>
      <c r="EE133" s="50"/>
      <c r="EF133" s="50"/>
      <c r="EG133" s="50"/>
      <c r="EH133" s="50"/>
      <c r="EI133" s="50"/>
      <c r="EJ133" s="50"/>
      <c r="EK133" s="50"/>
      <c r="EL133" s="50"/>
      <c r="EM133" s="50"/>
      <c r="EN133" s="50"/>
      <c r="EO133" s="50"/>
      <c r="EP133" s="50"/>
      <c r="EQ133" s="50"/>
      <c r="ER133" s="50"/>
      <c r="ES133" s="50"/>
      <c r="ET133" s="50"/>
      <c r="EU133" s="50"/>
      <c r="EV133" s="50"/>
      <c r="EW133" s="50"/>
      <c r="EX133" s="50"/>
      <c r="EY133" s="50"/>
      <c r="EZ133" s="50"/>
      <c r="FA133" s="50"/>
      <c r="FB133" s="50"/>
      <c r="FC133" s="50"/>
      <c r="FD133" s="50"/>
      <c r="FE133" s="50"/>
      <c r="FF133" s="50"/>
      <c r="FG133" s="50"/>
      <c r="FH133" s="50"/>
      <c r="FI133" s="50"/>
      <c r="FJ133" s="50"/>
      <c r="FK133" s="50"/>
      <c r="FL133" s="50"/>
      <c r="FM133" s="50"/>
      <c r="FN133" s="50"/>
      <c r="FO133" s="50"/>
      <c r="FP133" s="50"/>
      <c r="FQ133" s="50"/>
      <c r="FR133" s="50"/>
      <c r="FS133" s="50"/>
      <c r="FT133" s="50"/>
      <c r="FU133" s="50"/>
      <c r="FV133" s="50"/>
      <c r="FW133" s="50"/>
      <c r="FX133" s="50"/>
      <c r="FY133" s="50"/>
      <c r="FZ133" s="50"/>
      <c r="GA133" s="50"/>
      <c r="GB133" s="50"/>
      <c r="GC133" s="50"/>
      <c r="GD133" s="50"/>
      <c r="GE133" s="50"/>
      <c r="GF133" s="50"/>
      <c r="GG133" s="50"/>
      <c r="GH133" s="50"/>
      <c r="GI133" s="50"/>
      <c r="GJ133" s="50"/>
      <c r="GK133" s="50"/>
      <c r="GL133" s="50"/>
      <c r="GM133" s="50"/>
      <c r="GN133" s="50"/>
      <c r="GO133" s="50"/>
      <c r="GP133" s="50"/>
      <c r="GQ133" s="50"/>
      <c r="GR133" s="50"/>
      <c r="GS133" s="50"/>
      <c r="GT133" s="50"/>
      <c r="GU133" s="50"/>
      <c r="GV133" s="50"/>
      <c r="GW133" s="50"/>
      <c r="GX133" s="50"/>
      <c r="GY133" s="50"/>
      <c r="GZ133" s="50"/>
      <c r="HA133" s="50"/>
    </row>
    <row r="134" s="51" customFormat="1" spans="1:209">
      <c r="A134" s="50"/>
      <c r="B134" s="50"/>
      <c r="C134" s="50"/>
      <c r="D134" s="50"/>
      <c r="E134" s="50"/>
      <c r="F134" s="50"/>
      <c r="G134" s="50"/>
      <c r="H134" s="58" t="s">
        <v>272</v>
      </c>
      <c r="I134" s="58" t="s">
        <v>382</v>
      </c>
      <c r="J134" s="59">
        <v>8578</v>
      </c>
      <c r="K134" s="59">
        <v>32879</v>
      </c>
      <c r="L134" s="59">
        <v>246198</v>
      </c>
      <c r="M134" s="59">
        <v>3048</v>
      </c>
      <c r="N134" s="59">
        <v>290703</v>
      </c>
      <c r="O134" s="63"/>
      <c r="P134" s="63">
        <f t="shared" si="4"/>
        <v>-290703</v>
      </c>
      <c r="Q134" s="50"/>
      <c r="R134" s="50"/>
      <c r="S134" s="69" t="s">
        <v>272</v>
      </c>
      <c r="T134" s="50"/>
      <c r="U134" s="52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0"/>
      <c r="BW134" s="50"/>
      <c r="BX134" s="50"/>
      <c r="BY134" s="50"/>
      <c r="BZ134" s="50"/>
      <c r="CA134" s="50"/>
      <c r="CB134" s="50"/>
      <c r="CC134" s="50"/>
      <c r="CD134" s="50"/>
      <c r="CE134" s="50"/>
      <c r="CF134" s="50"/>
      <c r="CG134" s="50"/>
      <c r="CH134" s="50"/>
      <c r="CI134" s="50"/>
      <c r="CJ134" s="50"/>
      <c r="CK134" s="50"/>
      <c r="CL134" s="50"/>
      <c r="CM134" s="50"/>
      <c r="CN134" s="50"/>
      <c r="CO134" s="50"/>
      <c r="CP134" s="50"/>
      <c r="CQ134" s="50"/>
      <c r="CR134" s="50"/>
      <c r="CS134" s="50"/>
      <c r="CT134" s="50"/>
      <c r="CU134" s="50"/>
      <c r="CV134" s="50"/>
      <c r="CW134" s="50"/>
      <c r="CX134" s="50"/>
      <c r="CY134" s="50"/>
      <c r="CZ134" s="50"/>
      <c r="DA134" s="50"/>
      <c r="DB134" s="50"/>
      <c r="DC134" s="50"/>
      <c r="DD134" s="50"/>
      <c r="DE134" s="50"/>
      <c r="DF134" s="50"/>
      <c r="DG134" s="50"/>
      <c r="DH134" s="50"/>
      <c r="DI134" s="50"/>
      <c r="DJ134" s="50"/>
      <c r="DK134" s="50"/>
      <c r="DL134" s="50"/>
      <c r="DM134" s="50"/>
      <c r="DN134" s="50"/>
      <c r="DO134" s="50"/>
      <c r="DP134" s="50"/>
      <c r="DQ134" s="50"/>
      <c r="DR134" s="50"/>
      <c r="DS134" s="50"/>
      <c r="DT134" s="50"/>
      <c r="DU134" s="50"/>
      <c r="DV134" s="50"/>
      <c r="DW134" s="50"/>
      <c r="DX134" s="50"/>
      <c r="DY134" s="50"/>
      <c r="DZ134" s="50"/>
      <c r="EA134" s="50"/>
      <c r="EB134" s="50"/>
      <c r="EC134" s="50"/>
      <c r="ED134" s="50"/>
      <c r="EE134" s="50"/>
      <c r="EF134" s="50"/>
      <c r="EG134" s="50"/>
      <c r="EH134" s="50"/>
      <c r="EI134" s="50"/>
      <c r="EJ134" s="50"/>
      <c r="EK134" s="50"/>
      <c r="EL134" s="50"/>
      <c r="EM134" s="50"/>
      <c r="EN134" s="50"/>
      <c r="EO134" s="50"/>
      <c r="EP134" s="50"/>
      <c r="EQ134" s="50"/>
      <c r="ER134" s="50"/>
      <c r="ES134" s="50"/>
      <c r="ET134" s="50"/>
      <c r="EU134" s="50"/>
      <c r="EV134" s="50"/>
      <c r="EW134" s="50"/>
      <c r="EX134" s="50"/>
      <c r="EY134" s="50"/>
      <c r="EZ134" s="50"/>
      <c r="FA134" s="50"/>
      <c r="FB134" s="50"/>
      <c r="FC134" s="50"/>
      <c r="FD134" s="50"/>
      <c r="FE134" s="50"/>
      <c r="FF134" s="50"/>
      <c r="FG134" s="50"/>
      <c r="FH134" s="50"/>
      <c r="FI134" s="50"/>
      <c r="FJ134" s="50"/>
      <c r="FK134" s="50"/>
      <c r="FL134" s="50"/>
      <c r="FM134" s="50"/>
      <c r="FN134" s="50"/>
      <c r="FO134" s="50"/>
      <c r="FP134" s="50"/>
      <c r="FQ134" s="50"/>
      <c r="FR134" s="50"/>
      <c r="FS134" s="50"/>
      <c r="FT134" s="50"/>
      <c r="FU134" s="50"/>
      <c r="FV134" s="50"/>
      <c r="FW134" s="50"/>
      <c r="FX134" s="50"/>
      <c r="FY134" s="50"/>
      <c r="FZ134" s="50"/>
      <c r="GA134" s="50"/>
      <c r="GB134" s="50"/>
      <c r="GC134" s="50"/>
      <c r="GD134" s="50"/>
      <c r="GE134" s="50"/>
      <c r="GF134" s="50"/>
      <c r="GG134" s="50"/>
      <c r="GH134" s="50"/>
      <c r="GI134" s="50"/>
      <c r="GJ134" s="50"/>
      <c r="GK134" s="50"/>
      <c r="GL134" s="50"/>
      <c r="GM134" s="50"/>
      <c r="GN134" s="50"/>
      <c r="GO134" s="50"/>
      <c r="GP134" s="50"/>
      <c r="GQ134" s="50"/>
      <c r="GR134" s="50"/>
      <c r="GS134" s="50"/>
      <c r="GT134" s="50"/>
      <c r="GU134" s="50"/>
      <c r="GV134" s="50"/>
      <c r="GW134" s="50"/>
      <c r="GX134" s="50"/>
      <c r="GY134" s="50"/>
      <c r="GZ134" s="50"/>
      <c r="HA134" s="50"/>
    </row>
    <row r="135" s="51" customFormat="1" spans="1:209">
      <c r="A135" s="50"/>
      <c r="B135" s="50"/>
      <c r="C135" s="50"/>
      <c r="D135" s="50"/>
      <c r="E135" s="50"/>
      <c r="F135" s="50"/>
      <c r="G135" s="50"/>
      <c r="H135" s="58" t="s">
        <v>272</v>
      </c>
      <c r="I135" s="58" t="s">
        <v>383</v>
      </c>
      <c r="J135" s="59">
        <v>5272</v>
      </c>
      <c r="K135" s="59">
        <v>26105</v>
      </c>
      <c r="L135" s="59">
        <v>129548</v>
      </c>
      <c r="M135" s="59">
        <v>4266</v>
      </c>
      <c r="N135" s="59">
        <v>165191</v>
      </c>
      <c r="O135" s="63"/>
      <c r="P135" s="63">
        <f t="shared" si="4"/>
        <v>-165191</v>
      </c>
      <c r="Q135" s="50"/>
      <c r="R135" s="50"/>
      <c r="S135" s="69" t="s">
        <v>272</v>
      </c>
      <c r="T135" s="50"/>
      <c r="U135" s="52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  <c r="BU135" s="50"/>
      <c r="BV135" s="50"/>
      <c r="BW135" s="50"/>
      <c r="BX135" s="50"/>
      <c r="BY135" s="50"/>
      <c r="BZ135" s="50"/>
      <c r="CA135" s="50"/>
      <c r="CB135" s="50"/>
      <c r="CC135" s="50"/>
      <c r="CD135" s="50"/>
      <c r="CE135" s="50"/>
      <c r="CF135" s="50"/>
      <c r="CG135" s="50"/>
      <c r="CH135" s="50"/>
      <c r="CI135" s="50"/>
      <c r="CJ135" s="50"/>
      <c r="CK135" s="50"/>
      <c r="CL135" s="50"/>
      <c r="CM135" s="50"/>
      <c r="CN135" s="50"/>
      <c r="CO135" s="50"/>
      <c r="CP135" s="50"/>
      <c r="CQ135" s="50"/>
      <c r="CR135" s="50"/>
      <c r="CS135" s="50"/>
      <c r="CT135" s="50"/>
      <c r="CU135" s="50"/>
      <c r="CV135" s="50"/>
      <c r="CW135" s="50"/>
      <c r="CX135" s="50"/>
      <c r="CY135" s="50"/>
      <c r="CZ135" s="50"/>
      <c r="DA135" s="50"/>
      <c r="DB135" s="50"/>
      <c r="DC135" s="50"/>
      <c r="DD135" s="50"/>
      <c r="DE135" s="50"/>
      <c r="DF135" s="50"/>
      <c r="DG135" s="50"/>
      <c r="DH135" s="50"/>
      <c r="DI135" s="50"/>
      <c r="DJ135" s="50"/>
      <c r="DK135" s="50"/>
      <c r="DL135" s="50"/>
      <c r="DM135" s="50"/>
      <c r="DN135" s="50"/>
      <c r="DO135" s="50"/>
      <c r="DP135" s="50"/>
      <c r="DQ135" s="50"/>
      <c r="DR135" s="50"/>
      <c r="DS135" s="50"/>
      <c r="DT135" s="50"/>
      <c r="DU135" s="50"/>
      <c r="DV135" s="50"/>
      <c r="DW135" s="50"/>
      <c r="DX135" s="50"/>
      <c r="DY135" s="50"/>
      <c r="DZ135" s="50"/>
      <c r="EA135" s="50"/>
      <c r="EB135" s="50"/>
      <c r="EC135" s="50"/>
      <c r="ED135" s="50"/>
      <c r="EE135" s="50"/>
      <c r="EF135" s="50"/>
      <c r="EG135" s="50"/>
      <c r="EH135" s="50"/>
      <c r="EI135" s="50"/>
      <c r="EJ135" s="50"/>
      <c r="EK135" s="50"/>
      <c r="EL135" s="50"/>
      <c r="EM135" s="50"/>
      <c r="EN135" s="50"/>
      <c r="EO135" s="50"/>
      <c r="EP135" s="50"/>
      <c r="EQ135" s="50"/>
      <c r="ER135" s="50"/>
      <c r="ES135" s="50"/>
      <c r="ET135" s="50"/>
      <c r="EU135" s="50"/>
      <c r="EV135" s="50"/>
      <c r="EW135" s="50"/>
      <c r="EX135" s="50"/>
      <c r="EY135" s="50"/>
      <c r="EZ135" s="50"/>
      <c r="FA135" s="50"/>
      <c r="FB135" s="50"/>
      <c r="FC135" s="50"/>
      <c r="FD135" s="50"/>
      <c r="FE135" s="50"/>
      <c r="FF135" s="50"/>
      <c r="FG135" s="50"/>
      <c r="FH135" s="50"/>
      <c r="FI135" s="50"/>
      <c r="FJ135" s="50"/>
      <c r="FK135" s="50"/>
      <c r="FL135" s="50"/>
      <c r="FM135" s="50"/>
      <c r="FN135" s="50"/>
      <c r="FO135" s="50"/>
      <c r="FP135" s="50"/>
      <c r="FQ135" s="50"/>
      <c r="FR135" s="50"/>
      <c r="FS135" s="50"/>
      <c r="FT135" s="50"/>
      <c r="FU135" s="50"/>
      <c r="FV135" s="50"/>
      <c r="FW135" s="50"/>
      <c r="FX135" s="50"/>
      <c r="FY135" s="50"/>
      <c r="FZ135" s="50"/>
      <c r="GA135" s="50"/>
      <c r="GB135" s="50"/>
      <c r="GC135" s="50"/>
      <c r="GD135" s="50"/>
      <c r="GE135" s="50"/>
      <c r="GF135" s="50"/>
      <c r="GG135" s="50"/>
      <c r="GH135" s="50"/>
      <c r="GI135" s="50"/>
      <c r="GJ135" s="50"/>
      <c r="GK135" s="50"/>
      <c r="GL135" s="50"/>
      <c r="GM135" s="50"/>
      <c r="GN135" s="50"/>
      <c r="GO135" s="50"/>
      <c r="GP135" s="50"/>
      <c r="GQ135" s="50"/>
      <c r="GR135" s="50"/>
      <c r="GS135" s="50"/>
      <c r="GT135" s="50"/>
      <c r="GU135" s="50"/>
      <c r="GV135" s="50"/>
      <c r="GW135" s="50"/>
      <c r="GX135" s="50"/>
      <c r="GY135" s="50"/>
      <c r="GZ135" s="50"/>
      <c r="HA135" s="50"/>
    </row>
    <row r="136" s="51" customFormat="1" spans="1:209">
      <c r="A136" s="50"/>
      <c r="B136" s="50"/>
      <c r="C136" s="50"/>
      <c r="D136" s="50"/>
      <c r="E136" s="50"/>
      <c r="F136" s="50"/>
      <c r="G136" s="50"/>
      <c r="H136" s="58" t="s">
        <v>272</v>
      </c>
      <c r="I136" s="58" t="s">
        <v>384</v>
      </c>
      <c r="J136" s="59">
        <v>2292</v>
      </c>
      <c r="K136" s="59">
        <v>7388</v>
      </c>
      <c r="L136" s="59">
        <v>56797</v>
      </c>
      <c r="M136" s="59">
        <v>2466</v>
      </c>
      <c r="N136" s="59">
        <v>68943</v>
      </c>
      <c r="O136" s="63"/>
      <c r="P136" s="63">
        <f t="shared" si="4"/>
        <v>-68943</v>
      </c>
      <c r="Q136" s="50"/>
      <c r="R136" s="50"/>
      <c r="S136" s="69" t="s">
        <v>272</v>
      </c>
      <c r="T136" s="50"/>
      <c r="U136" s="52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S136" s="50"/>
      <c r="BT136" s="50"/>
      <c r="BU136" s="50"/>
      <c r="BV136" s="50"/>
      <c r="BW136" s="50"/>
      <c r="BX136" s="50"/>
      <c r="BY136" s="50"/>
      <c r="BZ136" s="50"/>
      <c r="CA136" s="50"/>
      <c r="CB136" s="50"/>
      <c r="CC136" s="50"/>
      <c r="CD136" s="50"/>
      <c r="CE136" s="50"/>
      <c r="CF136" s="50"/>
      <c r="CG136" s="50"/>
      <c r="CH136" s="50"/>
      <c r="CI136" s="50"/>
      <c r="CJ136" s="50"/>
      <c r="CK136" s="50"/>
      <c r="CL136" s="50"/>
      <c r="CM136" s="50"/>
      <c r="CN136" s="50"/>
      <c r="CO136" s="50"/>
      <c r="CP136" s="50"/>
      <c r="CQ136" s="50"/>
      <c r="CR136" s="50"/>
      <c r="CS136" s="50"/>
      <c r="CT136" s="50"/>
      <c r="CU136" s="50"/>
      <c r="CV136" s="50"/>
      <c r="CW136" s="50"/>
      <c r="CX136" s="50"/>
      <c r="CY136" s="50"/>
      <c r="CZ136" s="50"/>
      <c r="DA136" s="50"/>
      <c r="DB136" s="50"/>
      <c r="DC136" s="50"/>
      <c r="DD136" s="50"/>
      <c r="DE136" s="50"/>
      <c r="DF136" s="50"/>
      <c r="DG136" s="50"/>
      <c r="DH136" s="50"/>
      <c r="DI136" s="50"/>
      <c r="DJ136" s="50"/>
      <c r="DK136" s="50"/>
      <c r="DL136" s="50"/>
      <c r="DM136" s="50"/>
      <c r="DN136" s="50"/>
      <c r="DO136" s="50"/>
      <c r="DP136" s="50"/>
      <c r="DQ136" s="50"/>
      <c r="DR136" s="50"/>
      <c r="DS136" s="50"/>
      <c r="DT136" s="50"/>
      <c r="DU136" s="50"/>
      <c r="DV136" s="50"/>
      <c r="DW136" s="50"/>
      <c r="DX136" s="50"/>
      <c r="DY136" s="50"/>
      <c r="DZ136" s="50"/>
      <c r="EA136" s="50"/>
      <c r="EB136" s="50"/>
      <c r="EC136" s="50"/>
      <c r="ED136" s="50"/>
      <c r="EE136" s="50"/>
      <c r="EF136" s="50"/>
      <c r="EG136" s="50"/>
      <c r="EH136" s="50"/>
      <c r="EI136" s="50"/>
      <c r="EJ136" s="50"/>
      <c r="EK136" s="50"/>
      <c r="EL136" s="50"/>
      <c r="EM136" s="50"/>
      <c r="EN136" s="50"/>
      <c r="EO136" s="50"/>
      <c r="EP136" s="50"/>
      <c r="EQ136" s="50"/>
      <c r="ER136" s="50"/>
      <c r="ES136" s="50"/>
      <c r="ET136" s="50"/>
      <c r="EU136" s="50"/>
      <c r="EV136" s="50"/>
      <c r="EW136" s="50"/>
      <c r="EX136" s="50"/>
      <c r="EY136" s="50"/>
      <c r="EZ136" s="50"/>
      <c r="FA136" s="50"/>
      <c r="FB136" s="50"/>
      <c r="FC136" s="50"/>
      <c r="FD136" s="50"/>
      <c r="FE136" s="50"/>
      <c r="FF136" s="50"/>
      <c r="FG136" s="50"/>
      <c r="FH136" s="50"/>
      <c r="FI136" s="50"/>
      <c r="FJ136" s="50"/>
      <c r="FK136" s="50"/>
      <c r="FL136" s="50"/>
      <c r="FM136" s="50"/>
      <c r="FN136" s="50"/>
      <c r="FO136" s="50"/>
      <c r="FP136" s="50"/>
      <c r="FQ136" s="50"/>
      <c r="FR136" s="50"/>
      <c r="FS136" s="50"/>
      <c r="FT136" s="50"/>
      <c r="FU136" s="50"/>
      <c r="FV136" s="50"/>
      <c r="FW136" s="50"/>
      <c r="FX136" s="50"/>
      <c r="FY136" s="50"/>
      <c r="FZ136" s="50"/>
      <c r="GA136" s="50"/>
      <c r="GB136" s="50"/>
      <c r="GC136" s="50"/>
      <c r="GD136" s="50"/>
      <c r="GE136" s="50"/>
      <c r="GF136" s="50"/>
      <c r="GG136" s="50"/>
      <c r="GH136" s="50"/>
      <c r="GI136" s="50"/>
      <c r="GJ136" s="50"/>
      <c r="GK136" s="50"/>
      <c r="GL136" s="50"/>
      <c r="GM136" s="50"/>
      <c r="GN136" s="50"/>
      <c r="GO136" s="50"/>
      <c r="GP136" s="50"/>
      <c r="GQ136" s="50"/>
      <c r="GR136" s="50"/>
      <c r="GS136" s="50"/>
      <c r="GT136" s="50"/>
      <c r="GU136" s="50"/>
      <c r="GV136" s="50"/>
      <c r="GW136" s="50"/>
      <c r="GX136" s="50"/>
      <c r="GY136" s="50"/>
      <c r="GZ136" s="50"/>
      <c r="HA136" s="50"/>
    </row>
    <row r="137" s="51" customFormat="1" spans="1:209">
      <c r="A137" s="50"/>
      <c r="B137" s="50"/>
      <c r="C137" s="50"/>
      <c r="D137" s="50"/>
      <c r="E137" s="50"/>
      <c r="F137" s="50"/>
      <c r="G137" s="50"/>
      <c r="H137" s="58" t="s">
        <v>272</v>
      </c>
      <c r="I137" s="58" t="s">
        <v>385</v>
      </c>
      <c r="J137" s="59">
        <v>4366</v>
      </c>
      <c r="K137" s="59">
        <v>21995</v>
      </c>
      <c r="L137" s="59">
        <v>139372</v>
      </c>
      <c r="M137" s="59">
        <v>631</v>
      </c>
      <c r="N137" s="59">
        <v>166364</v>
      </c>
      <c r="O137" s="63"/>
      <c r="P137" s="63">
        <f t="shared" si="4"/>
        <v>-166364</v>
      </c>
      <c r="Q137" s="50"/>
      <c r="R137" s="50"/>
      <c r="S137" s="69" t="s">
        <v>272</v>
      </c>
      <c r="T137" s="50"/>
      <c r="U137" s="52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0"/>
      <c r="BW137" s="50"/>
      <c r="BX137" s="50"/>
      <c r="BY137" s="50"/>
      <c r="BZ137" s="50"/>
      <c r="CA137" s="50"/>
      <c r="CB137" s="50"/>
      <c r="CC137" s="50"/>
      <c r="CD137" s="50"/>
      <c r="CE137" s="50"/>
      <c r="CF137" s="50"/>
      <c r="CG137" s="50"/>
      <c r="CH137" s="50"/>
      <c r="CI137" s="50"/>
      <c r="CJ137" s="50"/>
      <c r="CK137" s="50"/>
      <c r="CL137" s="50"/>
      <c r="CM137" s="50"/>
      <c r="CN137" s="50"/>
      <c r="CO137" s="50"/>
      <c r="CP137" s="50"/>
      <c r="CQ137" s="50"/>
      <c r="CR137" s="50"/>
      <c r="CS137" s="50"/>
      <c r="CT137" s="50"/>
      <c r="CU137" s="50"/>
      <c r="CV137" s="50"/>
      <c r="CW137" s="50"/>
      <c r="CX137" s="50"/>
      <c r="CY137" s="50"/>
      <c r="CZ137" s="50"/>
      <c r="DA137" s="50"/>
      <c r="DB137" s="50"/>
      <c r="DC137" s="50"/>
      <c r="DD137" s="50"/>
      <c r="DE137" s="50"/>
      <c r="DF137" s="50"/>
      <c r="DG137" s="50"/>
      <c r="DH137" s="50"/>
      <c r="DI137" s="50"/>
      <c r="DJ137" s="50"/>
      <c r="DK137" s="50"/>
      <c r="DL137" s="50"/>
      <c r="DM137" s="50"/>
      <c r="DN137" s="50"/>
      <c r="DO137" s="50"/>
      <c r="DP137" s="50"/>
      <c r="DQ137" s="50"/>
      <c r="DR137" s="50"/>
      <c r="DS137" s="50"/>
      <c r="DT137" s="50"/>
      <c r="DU137" s="50"/>
      <c r="DV137" s="50"/>
      <c r="DW137" s="50"/>
      <c r="DX137" s="50"/>
      <c r="DY137" s="50"/>
      <c r="DZ137" s="50"/>
      <c r="EA137" s="50"/>
      <c r="EB137" s="50"/>
      <c r="EC137" s="50"/>
      <c r="ED137" s="50"/>
      <c r="EE137" s="50"/>
      <c r="EF137" s="50"/>
      <c r="EG137" s="50"/>
      <c r="EH137" s="50"/>
      <c r="EI137" s="50"/>
      <c r="EJ137" s="50"/>
      <c r="EK137" s="50"/>
      <c r="EL137" s="50"/>
      <c r="EM137" s="50"/>
      <c r="EN137" s="50"/>
      <c r="EO137" s="50"/>
      <c r="EP137" s="50"/>
      <c r="EQ137" s="50"/>
      <c r="ER137" s="50"/>
      <c r="ES137" s="50"/>
      <c r="ET137" s="50"/>
      <c r="EU137" s="50"/>
      <c r="EV137" s="50"/>
      <c r="EW137" s="50"/>
      <c r="EX137" s="50"/>
      <c r="EY137" s="50"/>
      <c r="EZ137" s="50"/>
      <c r="FA137" s="50"/>
      <c r="FB137" s="50"/>
      <c r="FC137" s="50"/>
      <c r="FD137" s="50"/>
      <c r="FE137" s="50"/>
      <c r="FF137" s="50"/>
      <c r="FG137" s="50"/>
      <c r="FH137" s="50"/>
      <c r="FI137" s="50"/>
      <c r="FJ137" s="50"/>
      <c r="FK137" s="50"/>
      <c r="FL137" s="50"/>
      <c r="FM137" s="50"/>
      <c r="FN137" s="50"/>
      <c r="FO137" s="50"/>
      <c r="FP137" s="50"/>
      <c r="FQ137" s="50"/>
      <c r="FR137" s="50"/>
      <c r="FS137" s="50"/>
      <c r="FT137" s="50"/>
      <c r="FU137" s="50"/>
      <c r="FV137" s="50"/>
      <c r="FW137" s="50"/>
      <c r="FX137" s="50"/>
      <c r="FY137" s="50"/>
      <c r="FZ137" s="50"/>
      <c r="GA137" s="50"/>
      <c r="GB137" s="50"/>
      <c r="GC137" s="50"/>
      <c r="GD137" s="50"/>
      <c r="GE137" s="50"/>
      <c r="GF137" s="50"/>
      <c r="GG137" s="50"/>
      <c r="GH137" s="50"/>
      <c r="GI137" s="50"/>
      <c r="GJ137" s="50"/>
      <c r="GK137" s="50"/>
      <c r="GL137" s="50"/>
      <c r="GM137" s="50"/>
      <c r="GN137" s="50"/>
      <c r="GO137" s="50"/>
      <c r="GP137" s="50"/>
      <c r="GQ137" s="50"/>
      <c r="GR137" s="50"/>
      <c r="GS137" s="50"/>
      <c r="GT137" s="50"/>
      <c r="GU137" s="50"/>
      <c r="GV137" s="50"/>
      <c r="GW137" s="50"/>
      <c r="GX137" s="50"/>
      <c r="GY137" s="50"/>
      <c r="GZ137" s="50"/>
      <c r="HA137" s="50"/>
    </row>
    <row r="138" s="51" customFormat="1" spans="1:209">
      <c r="A138" s="50"/>
      <c r="B138" s="50"/>
      <c r="C138" s="50"/>
      <c r="D138" s="50"/>
      <c r="E138" s="50"/>
      <c r="F138" s="50"/>
      <c r="G138" s="50"/>
      <c r="H138" s="58" t="s">
        <v>272</v>
      </c>
      <c r="I138" s="58" t="s">
        <v>386</v>
      </c>
      <c r="J138" s="59">
        <v>8705</v>
      </c>
      <c r="K138" s="59">
        <v>43426</v>
      </c>
      <c r="L138" s="59">
        <v>185522</v>
      </c>
      <c r="M138" s="59">
        <v>1162</v>
      </c>
      <c r="N138" s="59">
        <v>238815</v>
      </c>
      <c r="O138" s="63"/>
      <c r="P138" s="63">
        <f t="shared" si="4"/>
        <v>-238815</v>
      </c>
      <c r="Q138" s="50"/>
      <c r="R138" s="50"/>
      <c r="S138" s="69" t="s">
        <v>272</v>
      </c>
      <c r="T138" s="50"/>
      <c r="U138" s="52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0"/>
      <c r="BW138" s="50"/>
      <c r="BX138" s="50"/>
      <c r="BY138" s="50"/>
      <c r="BZ138" s="50"/>
      <c r="CA138" s="50"/>
      <c r="CB138" s="50"/>
      <c r="CC138" s="50"/>
      <c r="CD138" s="50"/>
      <c r="CE138" s="50"/>
      <c r="CF138" s="50"/>
      <c r="CG138" s="50"/>
      <c r="CH138" s="50"/>
      <c r="CI138" s="50"/>
      <c r="CJ138" s="50"/>
      <c r="CK138" s="50"/>
      <c r="CL138" s="50"/>
      <c r="CM138" s="50"/>
      <c r="CN138" s="50"/>
      <c r="CO138" s="50"/>
      <c r="CP138" s="50"/>
      <c r="CQ138" s="50"/>
      <c r="CR138" s="50"/>
      <c r="CS138" s="50"/>
      <c r="CT138" s="50"/>
      <c r="CU138" s="50"/>
      <c r="CV138" s="50"/>
      <c r="CW138" s="50"/>
      <c r="CX138" s="50"/>
      <c r="CY138" s="50"/>
      <c r="CZ138" s="50"/>
      <c r="DA138" s="50"/>
      <c r="DB138" s="50"/>
      <c r="DC138" s="50"/>
      <c r="DD138" s="50"/>
      <c r="DE138" s="50"/>
      <c r="DF138" s="50"/>
      <c r="DG138" s="50"/>
      <c r="DH138" s="50"/>
      <c r="DI138" s="50"/>
      <c r="DJ138" s="50"/>
      <c r="DK138" s="50"/>
      <c r="DL138" s="50"/>
      <c r="DM138" s="50"/>
      <c r="DN138" s="50"/>
      <c r="DO138" s="50"/>
      <c r="DP138" s="50"/>
      <c r="DQ138" s="50"/>
      <c r="DR138" s="50"/>
      <c r="DS138" s="50"/>
      <c r="DT138" s="50"/>
      <c r="DU138" s="50"/>
      <c r="DV138" s="50"/>
      <c r="DW138" s="50"/>
      <c r="DX138" s="50"/>
      <c r="DY138" s="50"/>
      <c r="DZ138" s="50"/>
      <c r="EA138" s="50"/>
      <c r="EB138" s="50"/>
      <c r="EC138" s="50"/>
      <c r="ED138" s="50"/>
      <c r="EE138" s="50"/>
      <c r="EF138" s="50"/>
      <c r="EG138" s="50"/>
      <c r="EH138" s="50"/>
      <c r="EI138" s="50"/>
      <c r="EJ138" s="50"/>
      <c r="EK138" s="50"/>
      <c r="EL138" s="50"/>
      <c r="EM138" s="50"/>
      <c r="EN138" s="50"/>
      <c r="EO138" s="50"/>
      <c r="EP138" s="50"/>
      <c r="EQ138" s="50"/>
      <c r="ER138" s="50"/>
      <c r="ES138" s="50"/>
      <c r="ET138" s="50"/>
      <c r="EU138" s="50"/>
      <c r="EV138" s="50"/>
      <c r="EW138" s="50"/>
      <c r="EX138" s="50"/>
      <c r="EY138" s="50"/>
      <c r="EZ138" s="50"/>
      <c r="FA138" s="50"/>
      <c r="FB138" s="50"/>
      <c r="FC138" s="50"/>
      <c r="FD138" s="50"/>
      <c r="FE138" s="50"/>
      <c r="FF138" s="50"/>
      <c r="FG138" s="50"/>
      <c r="FH138" s="50"/>
      <c r="FI138" s="50"/>
      <c r="FJ138" s="50"/>
      <c r="FK138" s="50"/>
      <c r="FL138" s="50"/>
      <c r="FM138" s="50"/>
      <c r="FN138" s="50"/>
      <c r="FO138" s="50"/>
      <c r="FP138" s="50"/>
      <c r="FQ138" s="50"/>
      <c r="FR138" s="50"/>
      <c r="FS138" s="50"/>
      <c r="FT138" s="50"/>
      <c r="FU138" s="50"/>
      <c r="FV138" s="50"/>
      <c r="FW138" s="50"/>
      <c r="FX138" s="50"/>
      <c r="FY138" s="50"/>
      <c r="FZ138" s="50"/>
      <c r="GA138" s="50"/>
      <c r="GB138" s="50"/>
      <c r="GC138" s="50"/>
      <c r="GD138" s="50"/>
      <c r="GE138" s="50"/>
      <c r="GF138" s="50"/>
      <c r="GG138" s="50"/>
      <c r="GH138" s="50"/>
      <c r="GI138" s="50"/>
      <c r="GJ138" s="50"/>
      <c r="GK138" s="50"/>
      <c r="GL138" s="50"/>
      <c r="GM138" s="50"/>
      <c r="GN138" s="50"/>
      <c r="GO138" s="50"/>
      <c r="GP138" s="50"/>
      <c r="GQ138" s="50"/>
      <c r="GR138" s="50"/>
      <c r="GS138" s="50"/>
      <c r="GT138" s="50"/>
      <c r="GU138" s="50"/>
      <c r="GV138" s="50"/>
      <c r="GW138" s="50"/>
      <c r="GX138" s="50"/>
      <c r="GY138" s="50"/>
      <c r="GZ138" s="50"/>
      <c r="HA138" s="50"/>
    </row>
    <row r="139" s="51" customFormat="1" spans="1:209">
      <c r="A139" s="50"/>
      <c r="B139" s="50"/>
      <c r="C139" s="50"/>
      <c r="D139" s="50"/>
      <c r="E139" s="50"/>
      <c r="F139" s="50"/>
      <c r="G139" s="50"/>
      <c r="H139" s="58" t="s">
        <v>272</v>
      </c>
      <c r="I139" s="58" t="s">
        <v>387</v>
      </c>
      <c r="J139" s="59">
        <v>16982</v>
      </c>
      <c r="K139" s="59">
        <v>57259</v>
      </c>
      <c r="L139" s="59">
        <v>407629</v>
      </c>
      <c r="M139" s="59">
        <v>4795</v>
      </c>
      <c r="N139" s="59">
        <v>486665</v>
      </c>
      <c r="O139" s="63"/>
      <c r="P139" s="63">
        <f t="shared" si="4"/>
        <v>-486665</v>
      </c>
      <c r="Q139" s="50"/>
      <c r="R139" s="50"/>
      <c r="S139" s="69" t="s">
        <v>272</v>
      </c>
      <c r="T139" s="50"/>
      <c r="U139" s="52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0"/>
      <c r="BV139" s="50"/>
      <c r="BW139" s="50"/>
      <c r="BX139" s="50"/>
      <c r="BY139" s="50"/>
      <c r="BZ139" s="50"/>
      <c r="CA139" s="50"/>
      <c r="CB139" s="50"/>
      <c r="CC139" s="50"/>
      <c r="CD139" s="50"/>
      <c r="CE139" s="50"/>
      <c r="CF139" s="50"/>
      <c r="CG139" s="50"/>
      <c r="CH139" s="50"/>
      <c r="CI139" s="50"/>
      <c r="CJ139" s="50"/>
      <c r="CK139" s="50"/>
      <c r="CL139" s="50"/>
      <c r="CM139" s="50"/>
      <c r="CN139" s="50"/>
      <c r="CO139" s="50"/>
      <c r="CP139" s="50"/>
      <c r="CQ139" s="50"/>
      <c r="CR139" s="50"/>
      <c r="CS139" s="50"/>
      <c r="CT139" s="50"/>
      <c r="CU139" s="50"/>
      <c r="CV139" s="50"/>
      <c r="CW139" s="50"/>
      <c r="CX139" s="50"/>
      <c r="CY139" s="50"/>
      <c r="CZ139" s="50"/>
      <c r="DA139" s="50"/>
      <c r="DB139" s="50"/>
      <c r="DC139" s="50"/>
      <c r="DD139" s="50"/>
      <c r="DE139" s="50"/>
      <c r="DF139" s="50"/>
      <c r="DG139" s="50"/>
      <c r="DH139" s="50"/>
      <c r="DI139" s="50"/>
      <c r="DJ139" s="50"/>
      <c r="DK139" s="50"/>
      <c r="DL139" s="50"/>
      <c r="DM139" s="50"/>
      <c r="DN139" s="50"/>
      <c r="DO139" s="50"/>
      <c r="DP139" s="50"/>
      <c r="DQ139" s="50"/>
      <c r="DR139" s="50"/>
      <c r="DS139" s="50"/>
      <c r="DT139" s="50"/>
      <c r="DU139" s="50"/>
      <c r="DV139" s="50"/>
      <c r="DW139" s="50"/>
      <c r="DX139" s="50"/>
      <c r="DY139" s="50"/>
      <c r="DZ139" s="50"/>
      <c r="EA139" s="50"/>
      <c r="EB139" s="50"/>
      <c r="EC139" s="50"/>
      <c r="ED139" s="50"/>
      <c r="EE139" s="50"/>
      <c r="EF139" s="50"/>
      <c r="EG139" s="50"/>
      <c r="EH139" s="50"/>
      <c r="EI139" s="50"/>
      <c r="EJ139" s="50"/>
      <c r="EK139" s="50"/>
      <c r="EL139" s="50"/>
      <c r="EM139" s="50"/>
      <c r="EN139" s="50"/>
      <c r="EO139" s="50"/>
      <c r="EP139" s="50"/>
      <c r="EQ139" s="50"/>
      <c r="ER139" s="50"/>
      <c r="ES139" s="50"/>
      <c r="ET139" s="50"/>
      <c r="EU139" s="50"/>
      <c r="EV139" s="50"/>
      <c r="EW139" s="50"/>
      <c r="EX139" s="50"/>
      <c r="EY139" s="50"/>
      <c r="EZ139" s="50"/>
      <c r="FA139" s="50"/>
      <c r="FB139" s="50"/>
      <c r="FC139" s="50"/>
      <c r="FD139" s="50"/>
      <c r="FE139" s="50"/>
      <c r="FF139" s="50"/>
      <c r="FG139" s="50"/>
      <c r="FH139" s="50"/>
      <c r="FI139" s="50"/>
      <c r="FJ139" s="50"/>
      <c r="FK139" s="50"/>
      <c r="FL139" s="50"/>
      <c r="FM139" s="50"/>
      <c r="FN139" s="50"/>
      <c r="FO139" s="50"/>
      <c r="FP139" s="50"/>
      <c r="FQ139" s="50"/>
      <c r="FR139" s="50"/>
      <c r="FS139" s="50"/>
      <c r="FT139" s="50"/>
      <c r="FU139" s="50"/>
      <c r="FV139" s="50"/>
      <c r="FW139" s="50"/>
      <c r="FX139" s="50"/>
      <c r="FY139" s="50"/>
      <c r="FZ139" s="50"/>
      <c r="GA139" s="50"/>
      <c r="GB139" s="50"/>
      <c r="GC139" s="50"/>
      <c r="GD139" s="50"/>
      <c r="GE139" s="50"/>
      <c r="GF139" s="50"/>
      <c r="GG139" s="50"/>
      <c r="GH139" s="50"/>
      <c r="GI139" s="50"/>
      <c r="GJ139" s="50"/>
      <c r="GK139" s="50"/>
      <c r="GL139" s="50"/>
      <c r="GM139" s="50"/>
      <c r="GN139" s="50"/>
      <c r="GO139" s="50"/>
      <c r="GP139" s="50"/>
      <c r="GQ139" s="50"/>
      <c r="GR139" s="50"/>
      <c r="GS139" s="50"/>
      <c r="GT139" s="50"/>
      <c r="GU139" s="50"/>
      <c r="GV139" s="50"/>
      <c r="GW139" s="50"/>
      <c r="GX139" s="50"/>
      <c r="GY139" s="50"/>
      <c r="GZ139" s="50"/>
      <c r="HA139" s="50"/>
    </row>
    <row r="140" s="51" customFormat="1" spans="1:209">
      <c r="A140" s="50"/>
      <c r="B140" s="50"/>
      <c r="C140" s="50"/>
      <c r="D140" s="50"/>
      <c r="E140" s="50"/>
      <c r="F140" s="50"/>
      <c r="G140" s="50"/>
      <c r="H140" s="58" t="s">
        <v>272</v>
      </c>
      <c r="I140" s="58" t="s">
        <v>388</v>
      </c>
      <c r="J140" s="59">
        <v>11097</v>
      </c>
      <c r="K140" s="59">
        <v>43151</v>
      </c>
      <c r="L140" s="59">
        <v>240508</v>
      </c>
      <c r="M140" s="59">
        <v>1126</v>
      </c>
      <c r="N140" s="59">
        <v>295882</v>
      </c>
      <c r="O140" s="63"/>
      <c r="P140" s="63">
        <f t="shared" si="4"/>
        <v>-295882</v>
      </c>
      <c r="Q140" s="50"/>
      <c r="R140" s="50"/>
      <c r="S140" s="69" t="s">
        <v>272</v>
      </c>
      <c r="T140" s="50"/>
      <c r="U140" s="52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  <c r="BU140" s="50"/>
      <c r="BV140" s="50"/>
      <c r="BW140" s="50"/>
      <c r="BX140" s="50"/>
      <c r="BY140" s="50"/>
      <c r="BZ140" s="50"/>
      <c r="CA140" s="50"/>
      <c r="CB140" s="50"/>
      <c r="CC140" s="50"/>
      <c r="CD140" s="50"/>
      <c r="CE140" s="50"/>
      <c r="CF140" s="50"/>
      <c r="CG140" s="50"/>
      <c r="CH140" s="50"/>
      <c r="CI140" s="50"/>
      <c r="CJ140" s="50"/>
      <c r="CK140" s="50"/>
      <c r="CL140" s="50"/>
      <c r="CM140" s="50"/>
      <c r="CN140" s="50"/>
      <c r="CO140" s="50"/>
      <c r="CP140" s="50"/>
      <c r="CQ140" s="50"/>
      <c r="CR140" s="50"/>
      <c r="CS140" s="50"/>
      <c r="CT140" s="50"/>
      <c r="CU140" s="50"/>
      <c r="CV140" s="50"/>
      <c r="CW140" s="50"/>
      <c r="CX140" s="50"/>
      <c r="CY140" s="50"/>
      <c r="CZ140" s="50"/>
      <c r="DA140" s="50"/>
      <c r="DB140" s="50"/>
      <c r="DC140" s="50"/>
      <c r="DD140" s="50"/>
      <c r="DE140" s="50"/>
      <c r="DF140" s="50"/>
      <c r="DG140" s="50"/>
      <c r="DH140" s="50"/>
      <c r="DI140" s="50"/>
      <c r="DJ140" s="50"/>
      <c r="DK140" s="50"/>
      <c r="DL140" s="50"/>
      <c r="DM140" s="50"/>
      <c r="DN140" s="50"/>
      <c r="DO140" s="50"/>
      <c r="DP140" s="50"/>
      <c r="DQ140" s="50"/>
      <c r="DR140" s="50"/>
      <c r="DS140" s="50"/>
      <c r="DT140" s="50"/>
      <c r="DU140" s="50"/>
      <c r="DV140" s="50"/>
      <c r="DW140" s="50"/>
      <c r="DX140" s="50"/>
      <c r="DY140" s="50"/>
      <c r="DZ140" s="50"/>
      <c r="EA140" s="50"/>
      <c r="EB140" s="50"/>
      <c r="EC140" s="50"/>
      <c r="ED140" s="50"/>
      <c r="EE140" s="50"/>
      <c r="EF140" s="50"/>
      <c r="EG140" s="50"/>
      <c r="EH140" s="50"/>
      <c r="EI140" s="50"/>
      <c r="EJ140" s="50"/>
      <c r="EK140" s="50"/>
      <c r="EL140" s="50"/>
      <c r="EM140" s="50"/>
      <c r="EN140" s="50"/>
      <c r="EO140" s="50"/>
      <c r="EP140" s="50"/>
      <c r="EQ140" s="50"/>
      <c r="ER140" s="50"/>
      <c r="ES140" s="50"/>
      <c r="ET140" s="50"/>
      <c r="EU140" s="50"/>
      <c r="EV140" s="50"/>
      <c r="EW140" s="50"/>
      <c r="EX140" s="50"/>
      <c r="EY140" s="50"/>
      <c r="EZ140" s="50"/>
      <c r="FA140" s="50"/>
      <c r="FB140" s="50"/>
      <c r="FC140" s="50"/>
      <c r="FD140" s="50"/>
      <c r="FE140" s="50"/>
      <c r="FF140" s="50"/>
      <c r="FG140" s="50"/>
      <c r="FH140" s="50"/>
      <c r="FI140" s="50"/>
      <c r="FJ140" s="50"/>
      <c r="FK140" s="50"/>
      <c r="FL140" s="50"/>
      <c r="FM140" s="50"/>
      <c r="FN140" s="50"/>
      <c r="FO140" s="50"/>
      <c r="FP140" s="50"/>
      <c r="FQ140" s="50"/>
      <c r="FR140" s="50"/>
      <c r="FS140" s="50"/>
      <c r="FT140" s="50"/>
      <c r="FU140" s="50"/>
      <c r="FV140" s="50"/>
      <c r="FW140" s="50"/>
      <c r="FX140" s="50"/>
      <c r="FY140" s="50"/>
      <c r="FZ140" s="50"/>
      <c r="GA140" s="50"/>
      <c r="GB140" s="50"/>
      <c r="GC140" s="50"/>
      <c r="GD140" s="50"/>
      <c r="GE140" s="50"/>
      <c r="GF140" s="50"/>
      <c r="GG140" s="50"/>
      <c r="GH140" s="50"/>
      <c r="GI140" s="50"/>
      <c r="GJ140" s="50"/>
      <c r="GK140" s="50"/>
      <c r="GL140" s="50"/>
      <c r="GM140" s="50"/>
      <c r="GN140" s="50"/>
      <c r="GO140" s="50"/>
      <c r="GP140" s="50"/>
      <c r="GQ140" s="50"/>
      <c r="GR140" s="50"/>
      <c r="GS140" s="50"/>
      <c r="GT140" s="50"/>
      <c r="GU140" s="50"/>
      <c r="GV140" s="50"/>
      <c r="GW140" s="50"/>
      <c r="GX140" s="50"/>
      <c r="GY140" s="50"/>
      <c r="GZ140" s="50"/>
      <c r="HA140" s="50"/>
    </row>
    <row r="141" s="51" customFormat="1" spans="1:209">
      <c r="A141" s="50"/>
      <c r="B141" s="50"/>
      <c r="C141" s="50"/>
      <c r="D141" s="50"/>
      <c r="E141" s="50"/>
      <c r="F141" s="50"/>
      <c r="G141" s="50"/>
      <c r="H141" s="58" t="s">
        <v>272</v>
      </c>
      <c r="I141" s="58" t="s">
        <v>389</v>
      </c>
      <c r="J141" s="59">
        <v>7410</v>
      </c>
      <c r="K141" s="59">
        <v>27092</v>
      </c>
      <c r="L141" s="59">
        <v>177754</v>
      </c>
      <c r="M141" s="59">
        <v>1660</v>
      </c>
      <c r="N141" s="59">
        <v>213916</v>
      </c>
      <c r="O141" s="63"/>
      <c r="P141" s="63">
        <f t="shared" si="4"/>
        <v>-213916</v>
      </c>
      <c r="Q141" s="50"/>
      <c r="R141" s="50"/>
      <c r="S141" s="69" t="s">
        <v>272</v>
      </c>
      <c r="T141" s="50"/>
      <c r="U141" s="52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  <c r="BU141" s="50"/>
      <c r="BV141" s="50"/>
      <c r="BW141" s="50"/>
      <c r="BX141" s="50"/>
      <c r="BY141" s="50"/>
      <c r="BZ141" s="50"/>
      <c r="CA141" s="50"/>
      <c r="CB141" s="50"/>
      <c r="CC141" s="50"/>
      <c r="CD141" s="50"/>
      <c r="CE141" s="50"/>
      <c r="CF141" s="50"/>
      <c r="CG141" s="50"/>
      <c r="CH141" s="50"/>
      <c r="CI141" s="50"/>
      <c r="CJ141" s="50"/>
      <c r="CK141" s="50"/>
      <c r="CL141" s="50"/>
      <c r="CM141" s="50"/>
      <c r="CN141" s="50"/>
      <c r="CO141" s="50"/>
      <c r="CP141" s="50"/>
      <c r="CQ141" s="50"/>
      <c r="CR141" s="50"/>
      <c r="CS141" s="50"/>
      <c r="CT141" s="50"/>
      <c r="CU141" s="50"/>
      <c r="CV141" s="50"/>
      <c r="CW141" s="50"/>
      <c r="CX141" s="50"/>
      <c r="CY141" s="50"/>
      <c r="CZ141" s="50"/>
      <c r="DA141" s="50"/>
      <c r="DB141" s="50"/>
      <c r="DC141" s="50"/>
      <c r="DD141" s="50"/>
      <c r="DE141" s="50"/>
      <c r="DF141" s="50"/>
      <c r="DG141" s="50"/>
      <c r="DH141" s="50"/>
      <c r="DI141" s="50"/>
      <c r="DJ141" s="50"/>
      <c r="DK141" s="50"/>
      <c r="DL141" s="50"/>
      <c r="DM141" s="50"/>
      <c r="DN141" s="50"/>
      <c r="DO141" s="50"/>
      <c r="DP141" s="50"/>
      <c r="DQ141" s="50"/>
      <c r="DR141" s="50"/>
      <c r="DS141" s="50"/>
      <c r="DT141" s="50"/>
      <c r="DU141" s="50"/>
      <c r="DV141" s="50"/>
      <c r="DW141" s="50"/>
      <c r="DX141" s="50"/>
      <c r="DY141" s="50"/>
      <c r="DZ141" s="50"/>
      <c r="EA141" s="50"/>
      <c r="EB141" s="50"/>
      <c r="EC141" s="50"/>
      <c r="ED141" s="50"/>
      <c r="EE141" s="50"/>
      <c r="EF141" s="50"/>
      <c r="EG141" s="50"/>
      <c r="EH141" s="50"/>
      <c r="EI141" s="50"/>
      <c r="EJ141" s="50"/>
      <c r="EK141" s="50"/>
      <c r="EL141" s="50"/>
      <c r="EM141" s="50"/>
      <c r="EN141" s="50"/>
      <c r="EO141" s="50"/>
      <c r="EP141" s="50"/>
      <c r="EQ141" s="50"/>
      <c r="ER141" s="50"/>
      <c r="ES141" s="50"/>
      <c r="ET141" s="50"/>
      <c r="EU141" s="50"/>
      <c r="EV141" s="50"/>
      <c r="EW141" s="50"/>
      <c r="EX141" s="50"/>
      <c r="EY141" s="50"/>
      <c r="EZ141" s="50"/>
      <c r="FA141" s="50"/>
      <c r="FB141" s="50"/>
      <c r="FC141" s="50"/>
      <c r="FD141" s="50"/>
      <c r="FE141" s="50"/>
      <c r="FF141" s="50"/>
      <c r="FG141" s="50"/>
      <c r="FH141" s="50"/>
      <c r="FI141" s="50"/>
      <c r="FJ141" s="50"/>
      <c r="FK141" s="50"/>
      <c r="FL141" s="50"/>
      <c r="FM141" s="50"/>
      <c r="FN141" s="50"/>
      <c r="FO141" s="50"/>
      <c r="FP141" s="50"/>
      <c r="FQ141" s="50"/>
      <c r="FR141" s="50"/>
      <c r="FS141" s="50"/>
      <c r="FT141" s="50"/>
      <c r="FU141" s="50"/>
      <c r="FV141" s="50"/>
      <c r="FW141" s="50"/>
      <c r="FX141" s="50"/>
      <c r="FY141" s="50"/>
      <c r="FZ141" s="50"/>
      <c r="GA141" s="50"/>
      <c r="GB141" s="50"/>
      <c r="GC141" s="50"/>
      <c r="GD141" s="50"/>
      <c r="GE141" s="50"/>
      <c r="GF141" s="50"/>
      <c r="GG141" s="50"/>
      <c r="GH141" s="50"/>
      <c r="GI141" s="50"/>
      <c r="GJ141" s="50"/>
      <c r="GK141" s="50"/>
      <c r="GL141" s="50"/>
      <c r="GM141" s="50"/>
      <c r="GN141" s="50"/>
      <c r="GO141" s="50"/>
      <c r="GP141" s="50"/>
      <c r="GQ141" s="50"/>
      <c r="GR141" s="50"/>
      <c r="GS141" s="50"/>
      <c r="GT141" s="50"/>
      <c r="GU141" s="50"/>
      <c r="GV141" s="50"/>
      <c r="GW141" s="50"/>
      <c r="GX141" s="50"/>
      <c r="GY141" s="50"/>
      <c r="GZ141" s="50"/>
      <c r="HA141" s="50"/>
    </row>
    <row r="142" s="51" customFormat="1" spans="1:209">
      <c r="A142" s="50"/>
      <c r="B142" s="50"/>
      <c r="C142" s="50"/>
      <c r="D142" s="50"/>
      <c r="E142" s="50"/>
      <c r="F142" s="50"/>
      <c r="G142" s="50"/>
      <c r="H142" s="58" t="s">
        <v>272</v>
      </c>
      <c r="I142" s="58" t="s">
        <v>390</v>
      </c>
      <c r="J142" s="59">
        <v>7255</v>
      </c>
      <c r="K142" s="59">
        <v>27134</v>
      </c>
      <c r="L142" s="59">
        <v>195570</v>
      </c>
      <c r="M142" s="59">
        <v>1278</v>
      </c>
      <c r="N142" s="59">
        <v>231237</v>
      </c>
      <c r="O142" s="63"/>
      <c r="P142" s="63">
        <f t="shared" si="4"/>
        <v>-231237</v>
      </c>
      <c r="Q142" s="50"/>
      <c r="R142" s="50"/>
      <c r="S142" s="69" t="s">
        <v>272</v>
      </c>
      <c r="T142" s="50"/>
      <c r="U142" s="52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0"/>
      <c r="BW142" s="50"/>
      <c r="BX142" s="50"/>
      <c r="BY142" s="50"/>
      <c r="BZ142" s="50"/>
      <c r="CA142" s="50"/>
      <c r="CB142" s="50"/>
      <c r="CC142" s="50"/>
      <c r="CD142" s="50"/>
      <c r="CE142" s="50"/>
      <c r="CF142" s="50"/>
      <c r="CG142" s="50"/>
      <c r="CH142" s="50"/>
      <c r="CI142" s="50"/>
      <c r="CJ142" s="50"/>
      <c r="CK142" s="50"/>
      <c r="CL142" s="50"/>
      <c r="CM142" s="50"/>
      <c r="CN142" s="50"/>
      <c r="CO142" s="50"/>
      <c r="CP142" s="50"/>
      <c r="CQ142" s="50"/>
      <c r="CR142" s="50"/>
      <c r="CS142" s="50"/>
      <c r="CT142" s="50"/>
      <c r="CU142" s="50"/>
      <c r="CV142" s="50"/>
      <c r="CW142" s="50"/>
      <c r="CX142" s="50"/>
      <c r="CY142" s="50"/>
      <c r="CZ142" s="50"/>
      <c r="DA142" s="50"/>
      <c r="DB142" s="50"/>
      <c r="DC142" s="50"/>
      <c r="DD142" s="50"/>
      <c r="DE142" s="50"/>
      <c r="DF142" s="50"/>
      <c r="DG142" s="50"/>
      <c r="DH142" s="50"/>
      <c r="DI142" s="50"/>
      <c r="DJ142" s="50"/>
      <c r="DK142" s="50"/>
      <c r="DL142" s="50"/>
      <c r="DM142" s="50"/>
      <c r="DN142" s="50"/>
      <c r="DO142" s="50"/>
      <c r="DP142" s="50"/>
      <c r="DQ142" s="50"/>
      <c r="DR142" s="50"/>
      <c r="DS142" s="50"/>
      <c r="DT142" s="50"/>
      <c r="DU142" s="50"/>
      <c r="DV142" s="50"/>
      <c r="DW142" s="50"/>
      <c r="DX142" s="50"/>
      <c r="DY142" s="50"/>
      <c r="DZ142" s="50"/>
      <c r="EA142" s="50"/>
      <c r="EB142" s="50"/>
      <c r="EC142" s="50"/>
      <c r="ED142" s="50"/>
      <c r="EE142" s="50"/>
      <c r="EF142" s="50"/>
      <c r="EG142" s="50"/>
      <c r="EH142" s="50"/>
      <c r="EI142" s="50"/>
      <c r="EJ142" s="50"/>
      <c r="EK142" s="50"/>
      <c r="EL142" s="50"/>
      <c r="EM142" s="50"/>
      <c r="EN142" s="50"/>
      <c r="EO142" s="50"/>
      <c r="EP142" s="50"/>
      <c r="EQ142" s="50"/>
      <c r="ER142" s="50"/>
      <c r="ES142" s="50"/>
      <c r="ET142" s="50"/>
      <c r="EU142" s="50"/>
      <c r="EV142" s="50"/>
      <c r="EW142" s="50"/>
      <c r="EX142" s="50"/>
      <c r="EY142" s="50"/>
      <c r="EZ142" s="50"/>
      <c r="FA142" s="50"/>
      <c r="FB142" s="50"/>
      <c r="FC142" s="50"/>
      <c r="FD142" s="50"/>
      <c r="FE142" s="50"/>
      <c r="FF142" s="50"/>
      <c r="FG142" s="50"/>
      <c r="FH142" s="50"/>
      <c r="FI142" s="50"/>
      <c r="FJ142" s="50"/>
      <c r="FK142" s="50"/>
      <c r="FL142" s="50"/>
      <c r="FM142" s="50"/>
      <c r="FN142" s="50"/>
      <c r="FO142" s="50"/>
      <c r="FP142" s="50"/>
      <c r="FQ142" s="50"/>
      <c r="FR142" s="50"/>
      <c r="FS142" s="50"/>
      <c r="FT142" s="50"/>
      <c r="FU142" s="50"/>
      <c r="FV142" s="50"/>
      <c r="FW142" s="50"/>
      <c r="FX142" s="50"/>
      <c r="FY142" s="50"/>
      <c r="FZ142" s="50"/>
      <c r="GA142" s="50"/>
      <c r="GB142" s="50"/>
      <c r="GC142" s="50"/>
      <c r="GD142" s="50"/>
      <c r="GE142" s="50"/>
      <c r="GF142" s="50"/>
      <c r="GG142" s="50"/>
      <c r="GH142" s="50"/>
      <c r="GI142" s="50"/>
      <c r="GJ142" s="50"/>
      <c r="GK142" s="50"/>
      <c r="GL142" s="50"/>
      <c r="GM142" s="50"/>
      <c r="GN142" s="50"/>
      <c r="GO142" s="50"/>
      <c r="GP142" s="50"/>
      <c r="GQ142" s="50"/>
      <c r="GR142" s="50"/>
      <c r="GS142" s="50"/>
      <c r="GT142" s="50"/>
      <c r="GU142" s="50"/>
      <c r="GV142" s="50"/>
      <c r="GW142" s="50"/>
      <c r="GX142" s="50"/>
      <c r="GY142" s="50"/>
      <c r="GZ142" s="50"/>
      <c r="HA142" s="50"/>
    </row>
    <row r="143" s="51" customFormat="1" spans="1:209">
      <c r="A143" s="50"/>
      <c r="B143" s="50"/>
      <c r="C143" s="50"/>
      <c r="D143" s="50"/>
      <c r="E143" s="50"/>
      <c r="F143" s="50"/>
      <c r="G143" s="50"/>
      <c r="H143" s="58" t="s">
        <v>272</v>
      </c>
      <c r="I143" s="58" t="s">
        <v>391</v>
      </c>
      <c r="J143" s="59">
        <v>4093</v>
      </c>
      <c r="K143" s="59">
        <v>21617</v>
      </c>
      <c r="L143" s="59">
        <v>99970</v>
      </c>
      <c r="M143" s="59">
        <v>260</v>
      </c>
      <c r="N143" s="59">
        <v>125940</v>
      </c>
      <c r="O143" s="63"/>
      <c r="P143" s="63">
        <f t="shared" si="4"/>
        <v>-125940</v>
      </c>
      <c r="Q143" s="50"/>
      <c r="R143" s="50"/>
      <c r="S143" s="69" t="s">
        <v>272</v>
      </c>
      <c r="T143" s="50"/>
      <c r="U143" s="52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0"/>
      <c r="BW143" s="50"/>
      <c r="BX143" s="50"/>
      <c r="BY143" s="50"/>
      <c r="BZ143" s="50"/>
      <c r="CA143" s="50"/>
      <c r="CB143" s="50"/>
      <c r="CC143" s="50"/>
      <c r="CD143" s="50"/>
      <c r="CE143" s="50"/>
      <c r="CF143" s="50"/>
      <c r="CG143" s="50"/>
      <c r="CH143" s="50"/>
      <c r="CI143" s="50"/>
      <c r="CJ143" s="50"/>
      <c r="CK143" s="50"/>
      <c r="CL143" s="50"/>
      <c r="CM143" s="50"/>
      <c r="CN143" s="50"/>
      <c r="CO143" s="50"/>
      <c r="CP143" s="50"/>
      <c r="CQ143" s="50"/>
      <c r="CR143" s="50"/>
      <c r="CS143" s="50"/>
      <c r="CT143" s="50"/>
      <c r="CU143" s="50"/>
      <c r="CV143" s="50"/>
      <c r="CW143" s="50"/>
      <c r="CX143" s="50"/>
      <c r="CY143" s="50"/>
      <c r="CZ143" s="50"/>
      <c r="DA143" s="50"/>
      <c r="DB143" s="50"/>
      <c r="DC143" s="50"/>
      <c r="DD143" s="50"/>
      <c r="DE143" s="50"/>
      <c r="DF143" s="50"/>
      <c r="DG143" s="50"/>
      <c r="DH143" s="50"/>
      <c r="DI143" s="50"/>
      <c r="DJ143" s="50"/>
      <c r="DK143" s="50"/>
      <c r="DL143" s="50"/>
      <c r="DM143" s="50"/>
      <c r="DN143" s="50"/>
      <c r="DO143" s="50"/>
      <c r="DP143" s="50"/>
      <c r="DQ143" s="50"/>
      <c r="DR143" s="50"/>
      <c r="DS143" s="50"/>
      <c r="DT143" s="50"/>
      <c r="DU143" s="50"/>
      <c r="DV143" s="50"/>
      <c r="DW143" s="50"/>
      <c r="DX143" s="50"/>
      <c r="DY143" s="50"/>
      <c r="DZ143" s="50"/>
      <c r="EA143" s="50"/>
      <c r="EB143" s="50"/>
      <c r="EC143" s="50"/>
      <c r="ED143" s="50"/>
      <c r="EE143" s="50"/>
      <c r="EF143" s="50"/>
      <c r="EG143" s="50"/>
      <c r="EH143" s="50"/>
      <c r="EI143" s="50"/>
      <c r="EJ143" s="50"/>
      <c r="EK143" s="50"/>
      <c r="EL143" s="50"/>
      <c r="EM143" s="50"/>
      <c r="EN143" s="50"/>
      <c r="EO143" s="50"/>
      <c r="EP143" s="50"/>
      <c r="EQ143" s="50"/>
      <c r="ER143" s="50"/>
      <c r="ES143" s="50"/>
      <c r="ET143" s="50"/>
      <c r="EU143" s="50"/>
      <c r="EV143" s="50"/>
      <c r="EW143" s="50"/>
      <c r="EX143" s="50"/>
      <c r="EY143" s="50"/>
      <c r="EZ143" s="50"/>
      <c r="FA143" s="50"/>
      <c r="FB143" s="50"/>
      <c r="FC143" s="50"/>
      <c r="FD143" s="50"/>
      <c r="FE143" s="50"/>
      <c r="FF143" s="50"/>
      <c r="FG143" s="50"/>
      <c r="FH143" s="50"/>
      <c r="FI143" s="50"/>
      <c r="FJ143" s="50"/>
      <c r="FK143" s="50"/>
      <c r="FL143" s="50"/>
      <c r="FM143" s="50"/>
      <c r="FN143" s="50"/>
      <c r="FO143" s="50"/>
      <c r="FP143" s="50"/>
      <c r="FQ143" s="50"/>
      <c r="FR143" s="50"/>
      <c r="FS143" s="50"/>
      <c r="FT143" s="50"/>
      <c r="FU143" s="50"/>
      <c r="FV143" s="50"/>
      <c r="FW143" s="50"/>
      <c r="FX143" s="50"/>
      <c r="FY143" s="50"/>
      <c r="FZ143" s="50"/>
      <c r="GA143" s="50"/>
      <c r="GB143" s="50"/>
      <c r="GC143" s="50"/>
      <c r="GD143" s="50"/>
      <c r="GE143" s="50"/>
      <c r="GF143" s="50"/>
      <c r="GG143" s="50"/>
      <c r="GH143" s="50"/>
      <c r="GI143" s="50"/>
      <c r="GJ143" s="50"/>
      <c r="GK143" s="50"/>
      <c r="GL143" s="50"/>
      <c r="GM143" s="50"/>
      <c r="GN143" s="50"/>
      <c r="GO143" s="50"/>
      <c r="GP143" s="50"/>
      <c r="GQ143" s="50"/>
      <c r="GR143" s="50"/>
      <c r="GS143" s="50"/>
      <c r="GT143" s="50"/>
      <c r="GU143" s="50"/>
      <c r="GV143" s="50"/>
      <c r="GW143" s="50"/>
      <c r="GX143" s="50"/>
      <c r="GY143" s="50"/>
      <c r="GZ143" s="50"/>
      <c r="HA143" s="50"/>
    </row>
    <row r="144" s="51" customFormat="1" spans="1:209">
      <c r="A144" s="50"/>
      <c r="B144" s="50"/>
      <c r="C144" s="50"/>
      <c r="D144" s="50"/>
      <c r="E144" s="50"/>
      <c r="F144" s="50"/>
      <c r="G144" s="50"/>
      <c r="H144" s="58" t="s">
        <v>272</v>
      </c>
      <c r="I144" s="58" t="s">
        <v>392</v>
      </c>
      <c r="J144" s="59">
        <v>9919</v>
      </c>
      <c r="K144" s="59">
        <v>39693</v>
      </c>
      <c r="L144" s="59">
        <v>180751</v>
      </c>
      <c r="M144" s="59">
        <v>1208</v>
      </c>
      <c r="N144" s="59">
        <v>231571</v>
      </c>
      <c r="O144" s="63"/>
      <c r="P144" s="63">
        <f t="shared" si="4"/>
        <v>-231571</v>
      </c>
      <c r="Q144" s="50"/>
      <c r="R144" s="50"/>
      <c r="S144" s="69" t="s">
        <v>272</v>
      </c>
      <c r="T144" s="50"/>
      <c r="U144" s="52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  <c r="CB144" s="50"/>
      <c r="CC144" s="50"/>
      <c r="CD144" s="50"/>
      <c r="CE144" s="50"/>
      <c r="CF144" s="50"/>
      <c r="CG144" s="50"/>
      <c r="CH144" s="50"/>
      <c r="CI144" s="50"/>
      <c r="CJ144" s="50"/>
      <c r="CK144" s="50"/>
      <c r="CL144" s="50"/>
      <c r="CM144" s="50"/>
      <c r="CN144" s="50"/>
      <c r="CO144" s="50"/>
      <c r="CP144" s="50"/>
      <c r="CQ144" s="50"/>
      <c r="CR144" s="50"/>
      <c r="CS144" s="50"/>
      <c r="CT144" s="50"/>
      <c r="CU144" s="50"/>
      <c r="CV144" s="50"/>
      <c r="CW144" s="50"/>
      <c r="CX144" s="50"/>
      <c r="CY144" s="50"/>
      <c r="CZ144" s="50"/>
      <c r="DA144" s="50"/>
      <c r="DB144" s="50"/>
      <c r="DC144" s="50"/>
      <c r="DD144" s="50"/>
      <c r="DE144" s="50"/>
      <c r="DF144" s="50"/>
      <c r="DG144" s="50"/>
      <c r="DH144" s="50"/>
      <c r="DI144" s="50"/>
      <c r="DJ144" s="50"/>
      <c r="DK144" s="50"/>
      <c r="DL144" s="50"/>
      <c r="DM144" s="50"/>
      <c r="DN144" s="50"/>
      <c r="DO144" s="50"/>
      <c r="DP144" s="50"/>
      <c r="DQ144" s="50"/>
      <c r="DR144" s="50"/>
      <c r="DS144" s="50"/>
      <c r="DT144" s="50"/>
      <c r="DU144" s="50"/>
      <c r="DV144" s="50"/>
      <c r="DW144" s="50"/>
      <c r="DX144" s="50"/>
      <c r="DY144" s="50"/>
      <c r="DZ144" s="50"/>
      <c r="EA144" s="50"/>
      <c r="EB144" s="50"/>
      <c r="EC144" s="50"/>
      <c r="ED144" s="50"/>
      <c r="EE144" s="50"/>
      <c r="EF144" s="50"/>
      <c r="EG144" s="50"/>
      <c r="EH144" s="50"/>
      <c r="EI144" s="50"/>
      <c r="EJ144" s="50"/>
      <c r="EK144" s="50"/>
      <c r="EL144" s="50"/>
      <c r="EM144" s="50"/>
      <c r="EN144" s="50"/>
      <c r="EO144" s="50"/>
      <c r="EP144" s="50"/>
      <c r="EQ144" s="50"/>
      <c r="ER144" s="50"/>
      <c r="ES144" s="50"/>
      <c r="ET144" s="50"/>
      <c r="EU144" s="50"/>
      <c r="EV144" s="50"/>
      <c r="EW144" s="50"/>
      <c r="EX144" s="50"/>
      <c r="EY144" s="50"/>
      <c r="EZ144" s="50"/>
      <c r="FA144" s="50"/>
      <c r="FB144" s="50"/>
      <c r="FC144" s="50"/>
      <c r="FD144" s="50"/>
      <c r="FE144" s="50"/>
      <c r="FF144" s="50"/>
      <c r="FG144" s="50"/>
      <c r="FH144" s="50"/>
      <c r="FI144" s="50"/>
      <c r="FJ144" s="50"/>
      <c r="FK144" s="50"/>
      <c r="FL144" s="50"/>
      <c r="FM144" s="50"/>
      <c r="FN144" s="50"/>
      <c r="FO144" s="50"/>
      <c r="FP144" s="50"/>
      <c r="FQ144" s="50"/>
      <c r="FR144" s="50"/>
      <c r="FS144" s="50"/>
      <c r="FT144" s="50"/>
      <c r="FU144" s="50"/>
      <c r="FV144" s="50"/>
      <c r="FW144" s="50"/>
      <c r="FX144" s="50"/>
      <c r="FY144" s="50"/>
      <c r="FZ144" s="50"/>
      <c r="GA144" s="50"/>
      <c r="GB144" s="50"/>
      <c r="GC144" s="50"/>
      <c r="GD144" s="50"/>
      <c r="GE144" s="50"/>
      <c r="GF144" s="50"/>
      <c r="GG144" s="50"/>
      <c r="GH144" s="50"/>
      <c r="GI144" s="50"/>
      <c r="GJ144" s="50"/>
      <c r="GK144" s="50"/>
      <c r="GL144" s="50"/>
      <c r="GM144" s="50"/>
      <c r="GN144" s="50"/>
      <c r="GO144" s="50"/>
      <c r="GP144" s="50"/>
      <c r="GQ144" s="50"/>
      <c r="GR144" s="50"/>
      <c r="GS144" s="50"/>
      <c r="GT144" s="50"/>
      <c r="GU144" s="50"/>
      <c r="GV144" s="50"/>
      <c r="GW144" s="50"/>
      <c r="GX144" s="50"/>
      <c r="GY144" s="50"/>
      <c r="GZ144" s="50"/>
      <c r="HA144" s="50"/>
    </row>
    <row r="145" s="51" customFormat="1" spans="1:209">
      <c r="A145" s="50"/>
      <c r="B145" s="50"/>
      <c r="C145" s="50"/>
      <c r="D145" s="50"/>
      <c r="E145" s="50"/>
      <c r="F145" s="50"/>
      <c r="G145" s="50"/>
      <c r="H145" s="58" t="s">
        <v>272</v>
      </c>
      <c r="I145" s="58" t="s">
        <v>393</v>
      </c>
      <c r="J145" s="59">
        <v>4727</v>
      </c>
      <c r="K145" s="59">
        <v>19652</v>
      </c>
      <c r="L145" s="59">
        <v>103632</v>
      </c>
      <c r="M145" s="59">
        <v>1089</v>
      </c>
      <c r="N145" s="59">
        <v>129100</v>
      </c>
      <c r="O145" s="63"/>
      <c r="P145" s="63">
        <f t="shared" si="4"/>
        <v>-129100</v>
      </c>
      <c r="Q145" s="50"/>
      <c r="R145" s="50"/>
      <c r="S145" s="69" t="s">
        <v>272</v>
      </c>
      <c r="T145" s="50"/>
      <c r="U145" s="52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  <c r="BU145" s="50"/>
      <c r="BV145" s="50"/>
      <c r="BW145" s="50"/>
      <c r="BX145" s="50"/>
      <c r="BY145" s="50"/>
      <c r="BZ145" s="50"/>
      <c r="CA145" s="50"/>
      <c r="CB145" s="50"/>
      <c r="CC145" s="50"/>
      <c r="CD145" s="50"/>
      <c r="CE145" s="50"/>
      <c r="CF145" s="50"/>
      <c r="CG145" s="50"/>
      <c r="CH145" s="50"/>
      <c r="CI145" s="50"/>
      <c r="CJ145" s="50"/>
      <c r="CK145" s="50"/>
      <c r="CL145" s="50"/>
      <c r="CM145" s="50"/>
      <c r="CN145" s="50"/>
      <c r="CO145" s="50"/>
      <c r="CP145" s="50"/>
      <c r="CQ145" s="50"/>
      <c r="CR145" s="50"/>
      <c r="CS145" s="50"/>
      <c r="CT145" s="50"/>
      <c r="CU145" s="50"/>
      <c r="CV145" s="50"/>
      <c r="CW145" s="50"/>
      <c r="CX145" s="50"/>
      <c r="CY145" s="50"/>
      <c r="CZ145" s="50"/>
      <c r="DA145" s="50"/>
      <c r="DB145" s="50"/>
      <c r="DC145" s="50"/>
      <c r="DD145" s="50"/>
      <c r="DE145" s="50"/>
      <c r="DF145" s="50"/>
      <c r="DG145" s="50"/>
      <c r="DH145" s="50"/>
      <c r="DI145" s="50"/>
      <c r="DJ145" s="50"/>
      <c r="DK145" s="50"/>
      <c r="DL145" s="50"/>
      <c r="DM145" s="50"/>
      <c r="DN145" s="50"/>
      <c r="DO145" s="50"/>
      <c r="DP145" s="50"/>
      <c r="DQ145" s="50"/>
      <c r="DR145" s="50"/>
      <c r="DS145" s="50"/>
      <c r="DT145" s="50"/>
      <c r="DU145" s="50"/>
      <c r="DV145" s="50"/>
      <c r="DW145" s="50"/>
      <c r="DX145" s="50"/>
      <c r="DY145" s="50"/>
      <c r="DZ145" s="50"/>
      <c r="EA145" s="50"/>
      <c r="EB145" s="50"/>
      <c r="EC145" s="50"/>
      <c r="ED145" s="50"/>
      <c r="EE145" s="50"/>
      <c r="EF145" s="50"/>
      <c r="EG145" s="50"/>
      <c r="EH145" s="50"/>
      <c r="EI145" s="50"/>
      <c r="EJ145" s="50"/>
      <c r="EK145" s="50"/>
      <c r="EL145" s="50"/>
      <c r="EM145" s="50"/>
      <c r="EN145" s="50"/>
      <c r="EO145" s="50"/>
      <c r="EP145" s="50"/>
      <c r="EQ145" s="50"/>
      <c r="ER145" s="50"/>
      <c r="ES145" s="50"/>
      <c r="ET145" s="50"/>
      <c r="EU145" s="50"/>
      <c r="EV145" s="50"/>
      <c r="EW145" s="50"/>
      <c r="EX145" s="50"/>
      <c r="EY145" s="50"/>
      <c r="EZ145" s="50"/>
      <c r="FA145" s="50"/>
      <c r="FB145" s="50"/>
      <c r="FC145" s="50"/>
      <c r="FD145" s="50"/>
      <c r="FE145" s="50"/>
      <c r="FF145" s="50"/>
      <c r="FG145" s="50"/>
      <c r="FH145" s="50"/>
      <c r="FI145" s="50"/>
      <c r="FJ145" s="50"/>
      <c r="FK145" s="50"/>
      <c r="FL145" s="50"/>
      <c r="FM145" s="50"/>
      <c r="FN145" s="50"/>
      <c r="FO145" s="50"/>
      <c r="FP145" s="50"/>
      <c r="FQ145" s="50"/>
      <c r="FR145" s="50"/>
      <c r="FS145" s="50"/>
      <c r="FT145" s="50"/>
      <c r="FU145" s="50"/>
      <c r="FV145" s="50"/>
      <c r="FW145" s="50"/>
      <c r="FX145" s="50"/>
      <c r="FY145" s="50"/>
      <c r="FZ145" s="50"/>
      <c r="GA145" s="50"/>
      <c r="GB145" s="50"/>
      <c r="GC145" s="50"/>
      <c r="GD145" s="50"/>
      <c r="GE145" s="50"/>
      <c r="GF145" s="50"/>
      <c r="GG145" s="50"/>
      <c r="GH145" s="50"/>
      <c r="GI145" s="50"/>
      <c r="GJ145" s="50"/>
      <c r="GK145" s="50"/>
      <c r="GL145" s="50"/>
      <c r="GM145" s="50"/>
      <c r="GN145" s="50"/>
      <c r="GO145" s="50"/>
      <c r="GP145" s="50"/>
      <c r="GQ145" s="50"/>
      <c r="GR145" s="50"/>
      <c r="GS145" s="50"/>
      <c r="GT145" s="50"/>
      <c r="GU145" s="50"/>
      <c r="GV145" s="50"/>
      <c r="GW145" s="50"/>
      <c r="GX145" s="50"/>
      <c r="GY145" s="50"/>
      <c r="GZ145" s="50"/>
      <c r="HA145" s="50"/>
    </row>
    <row r="146" s="51" customFormat="1" spans="1:209">
      <c r="A146" s="50"/>
      <c r="B146" s="50"/>
      <c r="C146" s="50"/>
      <c r="D146" s="50"/>
      <c r="E146" s="50"/>
      <c r="F146" s="50"/>
      <c r="G146" s="50"/>
      <c r="H146" s="58" t="s">
        <v>272</v>
      </c>
      <c r="I146" s="58" t="s">
        <v>394</v>
      </c>
      <c r="J146" s="59">
        <v>2526</v>
      </c>
      <c r="K146" s="59">
        <v>9363</v>
      </c>
      <c r="L146" s="59">
        <v>83433</v>
      </c>
      <c r="M146" s="59">
        <v>906</v>
      </c>
      <c r="N146" s="59">
        <v>96228</v>
      </c>
      <c r="O146" s="63"/>
      <c r="P146" s="63">
        <f t="shared" si="4"/>
        <v>-96228</v>
      </c>
      <c r="Q146" s="50"/>
      <c r="R146" s="50"/>
      <c r="S146" s="69" t="s">
        <v>272</v>
      </c>
      <c r="T146" s="50"/>
      <c r="U146" s="52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0"/>
      <c r="BR146" s="50"/>
      <c r="BS146" s="50"/>
      <c r="BT146" s="50"/>
      <c r="BU146" s="50"/>
      <c r="BV146" s="50"/>
      <c r="BW146" s="50"/>
      <c r="BX146" s="50"/>
      <c r="BY146" s="50"/>
      <c r="BZ146" s="50"/>
      <c r="CA146" s="50"/>
      <c r="CB146" s="50"/>
      <c r="CC146" s="50"/>
      <c r="CD146" s="50"/>
      <c r="CE146" s="50"/>
      <c r="CF146" s="50"/>
      <c r="CG146" s="50"/>
      <c r="CH146" s="50"/>
      <c r="CI146" s="50"/>
      <c r="CJ146" s="50"/>
      <c r="CK146" s="50"/>
      <c r="CL146" s="50"/>
      <c r="CM146" s="50"/>
      <c r="CN146" s="50"/>
      <c r="CO146" s="50"/>
      <c r="CP146" s="50"/>
      <c r="CQ146" s="50"/>
      <c r="CR146" s="50"/>
      <c r="CS146" s="50"/>
      <c r="CT146" s="50"/>
      <c r="CU146" s="50"/>
      <c r="CV146" s="50"/>
      <c r="CW146" s="50"/>
      <c r="CX146" s="50"/>
      <c r="CY146" s="50"/>
      <c r="CZ146" s="50"/>
      <c r="DA146" s="50"/>
      <c r="DB146" s="50"/>
      <c r="DC146" s="50"/>
      <c r="DD146" s="50"/>
      <c r="DE146" s="50"/>
      <c r="DF146" s="50"/>
      <c r="DG146" s="50"/>
      <c r="DH146" s="50"/>
      <c r="DI146" s="50"/>
      <c r="DJ146" s="50"/>
      <c r="DK146" s="50"/>
      <c r="DL146" s="50"/>
      <c r="DM146" s="50"/>
      <c r="DN146" s="50"/>
      <c r="DO146" s="50"/>
      <c r="DP146" s="50"/>
      <c r="DQ146" s="50"/>
      <c r="DR146" s="50"/>
      <c r="DS146" s="50"/>
      <c r="DT146" s="50"/>
      <c r="DU146" s="50"/>
      <c r="DV146" s="50"/>
      <c r="DW146" s="50"/>
      <c r="DX146" s="50"/>
      <c r="DY146" s="50"/>
      <c r="DZ146" s="50"/>
      <c r="EA146" s="50"/>
      <c r="EB146" s="50"/>
      <c r="EC146" s="50"/>
      <c r="ED146" s="50"/>
      <c r="EE146" s="50"/>
      <c r="EF146" s="50"/>
      <c r="EG146" s="50"/>
      <c r="EH146" s="50"/>
      <c r="EI146" s="50"/>
      <c r="EJ146" s="50"/>
      <c r="EK146" s="50"/>
      <c r="EL146" s="50"/>
      <c r="EM146" s="50"/>
      <c r="EN146" s="50"/>
      <c r="EO146" s="50"/>
      <c r="EP146" s="50"/>
      <c r="EQ146" s="50"/>
      <c r="ER146" s="50"/>
      <c r="ES146" s="50"/>
      <c r="ET146" s="50"/>
      <c r="EU146" s="50"/>
      <c r="EV146" s="50"/>
      <c r="EW146" s="50"/>
      <c r="EX146" s="50"/>
      <c r="EY146" s="50"/>
      <c r="EZ146" s="50"/>
      <c r="FA146" s="50"/>
      <c r="FB146" s="50"/>
      <c r="FC146" s="50"/>
      <c r="FD146" s="50"/>
      <c r="FE146" s="50"/>
      <c r="FF146" s="50"/>
      <c r="FG146" s="50"/>
      <c r="FH146" s="50"/>
      <c r="FI146" s="50"/>
      <c r="FJ146" s="50"/>
      <c r="FK146" s="50"/>
      <c r="FL146" s="50"/>
      <c r="FM146" s="50"/>
      <c r="FN146" s="50"/>
      <c r="FO146" s="50"/>
      <c r="FP146" s="50"/>
      <c r="FQ146" s="50"/>
      <c r="FR146" s="50"/>
      <c r="FS146" s="50"/>
      <c r="FT146" s="50"/>
      <c r="FU146" s="50"/>
      <c r="FV146" s="50"/>
      <c r="FW146" s="50"/>
      <c r="FX146" s="50"/>
      <c r="FY146" s="50"/>
      <c r="FZ146" s="50"/>
      <c r="GA146" s="50"/>
      <c r="GB146" s="50"/>
      <c r="GC146" s="50"/>
      <c r="GD146" s="50"/>
      <c r="GE146" s="50"/>
      <c r="GF146" s="50"/>
      <c r="GG146" s="50"/>
      <c r="GH146" s="50"/>
      <c r="GI146" s="50"/>
      <c r="GJ146" s="50"/>
      <c r="GK146" s="50"/>
      <c r="GL146" s="50"/>
      <c r="GM146" s="50"/>
      <c r="GN146" s="50"/>
      <c r="GO146" s="50"/>
      <c r="GP146" s="50"/>
      <c r="GQ146" s="50"/>
      <c r="GR146" s="50"/>
      <c r="GS146" s="50"/>
      <c r="GT146" s="50"/>
      <c r="GU146" s="50"/>
      <c r="GV146" s="50"/>
      <c r="GW146" s="50"/>
      <c r="GX146" s="50"/>
      <c r="GY146" s="50"/>
      <c r="GZ146" s="50"/>
      <c r="HA146" s="50"/>
    </row>
    <row r="147" s="51" customFormat="1" spans="1:209">
      <c r="A147" s="50"/>
      <c r="B147" s="50"/>
      <c r="C147" s="50"/>
      <c r="D147" s="50"/>
      <c r="E147" s="50"/>
      <c r="F147" s="50"/>
      <c r="G147" s="50"/>
      <c r="H147" s="58" t="s">
        <v>272</v>
      </c>
      <c r="I147" s="58" t="s">
        <v>395</v>
      </c>
      <c r="J147" s="59">
        <v>1323</v>
      </c>
      <c r="K147" s="59">
        <v>7512</v>
      </c>
      <c r="L147" s="59">
        <v>42628</v>
      </c>
      <c r="M147" s="59">
        <v>463</v>
      </c>
      <c r="N147" s="59">
        <v>51926</v>
      </c>
      <c r="O147" s="63"/>
      <c r="P147" s="63">
        <f t="shared" si="4"/>
        <v>-51926</v>
      </c>
      <c r="Q147" s="50"/>
      <c r="R147" s="50"/>
      <c r="S147" s="69" t="s">
        <v>272</v>
      </c>
      <c r="T147" s="50"/>
      <c r="U147" s="52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0"/>
      <c r="BW147" s="50"/>
      <c r="BX147" s="50"/>
      <c r="BY147" s="50"/>
      <c r="BZ147" s="50"/>
      <c r="CA147" s="50"/>
      <c r="CB147" s="50"/>
      <c r="CC147" s="50"/>
      <c r="CD147" s="50"/>
      <c r="CE147" s="50"/>
      <c r="CF147" s="50"/>
      <c r="CG147" s="50"/>
      <c r="CH147" s="50"/>
      <c r="CI147" s="50"/>
      <c r="CJ147" s="50"/>
      <c r="CK147" s="50"/>
      <c r="CL147" s="50"/>
      <c r="CM147" s="50"/>
      <c r="CN147" s="50"/>
      <c r="CO147" s="50"/>
      <c r="CP147" s="50"/>
      <c r="CQ147" s="50"/>
      <c r="CR147" s="50"/>
      <c r="CS147" s="50"/>
      <c r="CT147" s="50"/>
      <c r="CU147" s="50"/>
      <c r="CV147" s="50"/>
      <c r="CW147" s="50"/>
      <c r="CX147" s="50"/>
      <c r="CY147" s="50"/>
      <c r="CZ147" s="50"/>
      <c r="DA147" s="50"/>
      <c r="DB147" s="50"/>
      <c r="DC147" s="50"/>
      <c r="DD147" s="50"/>
      <c r="DE147" s="50"/>
      <c r="DF147" s="50"/>
      <c r="DG147" s="50"/>
      <c r="DH147" s="50"/>
      <c r="DI147" s="50"/>
      <c r="DJ147" s="50"/>
      <c r="DK147" s="50"/>
      <c r="DL147" s="50"/>
      <c r="DM147" s="50"/>
      <c r="DN147" s="50"/>
      <c r="DO147" s="50"/>
      <c r="DP147" s="50"/>
      <c r="DQ147" s="50"/>
      <c r="DR147" s="50"/>
      <c r="DS147" s="50"/>
      <c r="DT147" s="50"/>
      <c r="DU147" s="50"/>
      <c r="DV147" s="50"/>
      <c r="DW147" s="50"/>
      <c r="DX147" s="50"/>
      <c r="DY147" s="50"/>
      <c r="DZ147" s="50"/>
      <c r="EA147" s="50"/>
      <c r="EB147" s="50"/>
      <c r="EC147" s="50"/>
      <c r="ED147" s="50"/>
      <c r="EE147" s="50"/>
      <c r="EF147" s="50"/>
      <c r="EG147" s="50"/>
      <c r="EH147" s="50"/>
      <c r="EI147" s="50"/>
      <c r="EJ147" s="50"/>
      <c r="EK147" s="50"/>
      <c r="EL147" s="50"/>
      <c r="EM147" s="50"/>
      <c r="EN147" s="50"/>
      <c r="EO147" s="50"/>
      <c r="EP147" s="50"/>
      <c r="EQ147" s="50"/>
      <c r="ER147" s="50"/>
      <c r="ES147" s="50"/>
      <c r="ET147" s="50"/>
      <c r="EU147" s="50"/>
      <c r="EV147" s="50"/>
      <c r="EW147" s="50"/>
      <c r="EX147" s="50"/>
      <c r="EY147" s="50"/>
      <c r="EZ147" s="50"/>
      <c r="FA147" s="50"/>
      <c r="FB147" s="50"/>
      <c r="FC147" s="50"/>
      <c r="FD147" s="50"/>
      <c r="FE147" s="50"/>
      <c r="FF147" s="50"/>
      <c r="FG147" s="50"/>
      <c r="FH147" s="50"/>
      <c r="FI147" s="50"/>
      <c r="FJ147" s="50"/>
      <c r="FK147" s="50"/>
      <c r="FL147" s="50"/>
      <c r="FM147" s="50"/>
      <c r="FN147" s="50"/>
      <c r="FO147" s="50"/>
      <c r="FP147" s="50"/>
      <c r="FQ147" s="50"/>
      <c r="FR147" s="50"/>
      <c r="FS147" s="50"/>
      <c r="FT147" s="50"/>
      <c r="FU147" s="50"/>
      <c r="FV147" s="50"/>
      <c r="FW147" s="50"/>
      <c r="FX147" s="50"/>
      <c r="FY147" s="50"/>
      <c r="FZ147" s="50"/>
      <c r="GA147" s="50"/>
      <c r="GB147" s="50"/>
      <c r="GC147" s="50"/>
      <c r="GD147" s="50"/>
      <c r="GE147" s="50"/>
      <c r="GF147" s="50"/>
      <c r="GG147" s="50"/>
      <c r="GH147" s="50"/>
      <c r="GI147" s="50"/>
      <c r="GJ147" s="50"/>
      <c r="GK147" s="50"/>
      <c r="GL147" s="50"/>
      <c r="GM147" s="50"/>
      <c r="GN147" s="50"/>
      <c r="GO147" s="50"/>
      <c r="GP147" s="50"/>
      <c r="GQ147" s="50"/>
      <c r="GR147" s="50"/>
      <c r="GS147" s="50"/>
      <c r="GT147" s="50"/>
      <c r="GU147" s="50"/>
      <c r="GV147" s="50"/>
      <c r="GW147" s="50"/>
      <c r="GX147" s="50"/>
      <c r="GY147" s="50"/>
      <c r="GZ147" s="50"/>
      <c r="HA147" s="50"/>
    </row>
    <row r="148" s="51" customFormat="1" spans="1:209">
      <c r="A148" s="50"/>
      <c r="B148" s="50"/>
      <c r="C148" s="50"/>
      <c r="D148" s="50"/>
      <c r="E148" s="50"/>
      <c r="F148" s="50"/>
      <c r="G148" s="50"/>
      <c r="H148" s="58" t="s">
        <v>272</v>
      </c>
      <c r="I148" s="58" t="s">
        <v>396</v>
      </c>
      <c r="J148" s="59">
        <v>5181</v>
      </c>
      <c r="K148" s="59">
        <v>20470</v>
      </c>
      <c r="L148" s="59">
        <v>194606</v>
      </c>
      <c r="M148" s="59">
        <v>4131</v>
      </c>
      <c r="N148" s="59">
        <v>224388</v>
      </c>
      <c r="O148" s="63"/>
      <c r="P148" s="63">
        <f t="shared" si="4"/>
        <v>-224388</v>
      </c>
      <c r="Q148" s="50"/>
      <c r="R148" s="50"/>
      <c r="S148" s="69" t="s">
        <v>272</v>
      </c>
      <c r="T148" s="50"/>
      <c r="U148" s="52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  <c r="BU148" s="50"/>
      <c r="BV148" s="50"/>
      <c r="BW148" s="50"/>
      <c r="BX148" s="50"/>
      <c r="BY148" s="50"/>
      <c r="BZ148" s="50"/>
      <c r="CA148" s="50"/>
      <c r="CB148" s="50"/>
      <c r="CC148" s="50"/>
      <c r="CD148" s="50"/>
      <c r="CE148" s="50"/>
      <c r="CF148" s="50"/>
      <c r="CG148" s="50"/>
      <c r="CH148" s="50"/>
      <c r="CI148" s="50"/>
      <c r="CJ148" s="50"/>
      <c r="CK148" s="50"/>
      <c r="CL148" s="50"/>
      <c r="CM148" s="50"/>
      <c r="CN148" s="50"/>
      <c r="CO148" s="50"/>
      <c r="CP148" s="50"/>
      <c r="CQ148" s="50"/>
      <c r="CR148" s="50"/>
      <c r="CS148" s="50"/>
      <c r="CT148" s="50"/>
      <c r="CU148" s="50"/>
      <c r="CV148" s="50"/>
      <c r="CW148" s="50"/>
      <c r="CX148" s="50"/>
      <c r="CY148" s="50"/>
      <c r="CZ148" s="50"/>
      <c r="DA148" s="50"/>
      <c r="DB148" s="50"/>
      <c r="DC148" s="50"/>
      <c r="DD148" s="50"/>
      <c r="DE148" s="50"/>
      <c r="DF148" s="50"/>
      <c r="DG148" s="50"/>
      <c r="DH148" s="50"/>
      <c r="DI148" s="50"/>
      <c r="DJ148" s="50"/>
      <c r="DK148" s="50"/>
      <c r="DL148" s="50"/>
      <c r="DM148" s="50"/>
      <c r="DN148" s="50"/>
      <c r="DO148" s="50"/>
      <c r="DP148" s="50"/>
      <c r="DQ148" s="50"/>
      <c r="DR148" s="50"/>
      <c r="DS148" s="50"/>
      <c r="DT148" s="50"/>
      <c r="DU148" s="50"/>
      <c r="DV148" s="50"/>
      <c r="DW148" s="50"/>
      <c r="DX148" s="50"/>
      <c r="DY148" s="50"/>
      <c r="DZ148" s="50"/>
      <c r="EA148" s="50"/>
      <c r="EB148" s="50"/>
      <c r="EC148" s="50"/>
      <c r="ED148" s="50"/>
      <c r="EE148" s="50"/>
      <c r="EF148" s="50"/>
      <c r="EG148" s="50"/>
      <c r="EH148" s="50"/>
      <c r="EI148" s="50"/>
      <c r="EJ148" s="50"/>
      <c r="EK148" s="50"/>
      <c r="EL148" s="50"/>
      <c r="EM148" s="50"/>
      <c r="EN148" s="50"/>
      <c r="EO148" s="50"/>
      <c r="EP148" s="50"/>
      <c r="EQ148" s="50"/>
      <c r="ER148" s="50"/>
      <c r="ES148" s="50"/>
      <c r="ET148" s="50"/>
      <c r="EU148" s="50"/>
      <c r="EV148" s="50"/>
      <c r="EW148" s="50"/>
      <c r="EX148" s="50"/>
      <c r="EY148" s="50"/>
      <c r="EZ148" s="50"/>
      <c r="FA148" s="50"/>
      <c r="FB148" s="50"/>
      <c r="FC148" s="50"/>
      <c r="FD148" s="50"/>
      <c r="FE148" s="50"/>
      <c r="FF148" s="50"/>
      <c r="FG148" s="50"/>
      <c r="FH148" s="50"/>
      <c r="FI148" s="50"/>
      <c r="FJ148" s="50"/>
      <c r="FK148" s="50"/>
      <c r="FL148" s="50"/>
      <c r="FM148" s="50"/>
      <c r="FN148" s="50"/>
      <c r="FO148" s="50"/>
      <c r="FP148" s="50"/>
      <c r="FQ148" s="50"/>
      <c r="FR148" s="50"/>
      <c r="FS148" s="50"/>
      <c r="FT148" s="50"/>
      <c r="FU148" s="50"/>
      <c r="FV148" s="50"/>
      <c r="FW148" s="50"/>
      <c r="FX148" s="50"/>
      <c r="FY148" s="50"/>
      <c r="FZ148" s="50"/>
      <c r="GA148" s="50"/>
      <c r="GB148" s="50"/>
      <c r="GC148" s="50"/>
      <c r="GD148" s="50"/>
      <c r="GE148" s="50"/>
      <c r="GF148" s="50"/>
      <c r="GG148" s="50"/>
      <c r="GH148" s="50"/>
      <c r="GI148" s="50"/>
      <c r="GJ148" s="50"/>
      <c r="GK148" s="50"/>
      <c r="GL148" s="50"/>
      <c r="GM148" s="50"/>
      <c r="GN148" s="50"/>
      <c r="GO148" s="50"/>
      <c r="GP148" s="50"/>
      <c r="GQ148" s="50"/>
      <c r="GR148" s="50"/>
      <c r="GS148" s="50"/>
      <c r="GT148" s="50"/>
      <c r="GU148" s="50"/>
      <c r="GV148" s="50"/>
      <c r="GW148" s="50"/>
      <c r="GX148" s="50"/>
      <c r="GY148" s="50"/>
      <c r="GZ148" s="50"/>
      <c r="HA148" s="50"/>
    </row>
    <row r="149" s="51" customFormat="1" spans="1:209">
      <c r="A149" s="50"/>
      <c r="B149" s="50"/>
      <c r="C149" s="50"/>
      <c r="D149" s="50"/>
      <c r="E149" s="50"/>
      <c r="F149" s="50"/>
      <c r="G149" s="50"/>
      <c r="H149" s="58" t="s">
        <v>272</v>
      </c>
      <c r="I149" s="58" t="s">
        <v>397</v>
      </c>
      <c r="J149" s="59">
        <v>11599</v>
      </c>
      <c r="K149" s="59">
        <v>37330</v>
      </c>
      <c r="L149" s="59">
        <v>231996</v>
      </c>
      <c r="M149" s="59">
        <v>4173</v>
      </c>
      <c r="N149" s="59">
        <v>285098</v>
      </c>
      <c r="O149" s="63"/>
      <c r="P149" s="63">
        <f t="shared" si="4"/>
        <v>-285098</v>
      </c>
      <c r="Q149" s="50"/>
      <c r="R149" s="50"/>
      <c r="S149" s="69" t="s">
        <v>272</v>
      </c>
      <c r="T149" s="50"/>
      <c r="U149" s="52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0"/>
      <c r="BU149" s="50"/>
      <c r="BV149" s="50"/>
      <c r="BW149" s="50"/>
      <c r="BX149" s="50"/>
      <c r="BY149" s="50"/>
      <c r="BZ149" s="50"/>
      <c r="CA149" s="50"/>
      <c r="CB149" s="50"/>
      <c r="CC149" s="50"/>
      <c r="CD149" s="50"/>
      <c r="CE149" s="50"/>
      <c r="CF149" s="50"/>
      <c r="CG149" s="50"/>
      <c r="CH149" s="50"/>
      <c r="CI149" s="50"/>
      <c r="CJ149" s="50"/>
      <c r="CK149" s="50"/>
      <c r="CL149" s="50"/>
      <c r="CM149" s="50"/>
      <c r="CN149" s="50"/>
      <c r="CO149" s="50"/>
      <c r="CP149" s="50"/>
      <c r="CQ149" s="50"/>
      <c r="CR149" s="50"/>
      <c r="CS149" s="50"/>
      <c r="CT149" s="50"/>
      <c r="CU149" s="50"/>
      <c r="CV149" s="50"/>
      <c r="CW149" s="50"/>
      <c r="CX149" s="50"/>
      <c r="CY149" s="50"/>
      <c r="CZ149" s="50"/>
      <c r="DA149" s="50"/>
      <c r="DB149" s="50"/>
      <c r="DC149" s="50"/>
      <c r="DD149" s="50"/>
      <c r="DE149" s="50"/>
      <c r="DF149" s="50"/>
      <c r="DG149" s="50"/>
      <c r="DH149" s="50"/>
      <c r="DI149" s="50"/>
      <c r="DJ149" s="50"/>
      <c r="DK149" s="50"/>
      <c r="DL149" s="50"/>
      <c r="DM149" s="50"/>
      <c r="DN149" s="50"/>
      <c r="DO149" s="50"/>
      <c r="DP149" s="50"/>
      <c r="DQ149" s="50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J149" s="50"/>
      <c r="EK149" s="50"/>
      <c r="EL149" s="50"/>
      <c r="EM149" s="50"/>
      <c r="EN149" s="50"/>
      <c r="EO149" s="50"/>
      <c r="EP149" s="50"/>
      <c r="EQ149" s="50"/>
      <c r="ER149" s="50"/>
      <c r="ES149" s="50"/>
      <c r="ET149" s="50"/>
      <c r="EU149" s="50"/>
      <c r="EV149" s="50"/>
      <c r="EW149" s="50"/>
      <c r="EX149" s="50"/>
      <c r="EY149" s="50"/>
      <c r="EZ149" s="50"/>
      <c r="FA149" s="50"/>
      <c r="FB149" s="50"/>
      <c r="FC149" s="50"/>
      <c r="FD149" s="50"/>
      <c r="FE149" s="50"/>
      <c r="FF149" s="50"/>
      <c r="FG149" s="50"/>
      <c r="FH149" s="50"/>
      <c r="FI149" s="50"/>
      <c r="FJ149" s="50"/>
      <c r="FK149" s="50"/>
      <c r="FL149" s="50"/>
      <c r="FM149" s="50"/>
      <c r="FN149" s="50"/>
      <c r="FO149" s="50"/>
      <c r="FP149" s="50"/>
      <c r="FQ149" s="50"/>
      <c r="FR149" s="50"/>
      <c r="FS149" s="50"/>
      <c r="FT149" s="50"/>
      <c r="FU149" s="50"/>
      <c r="FV149" s="50"/>
      <c r="FW149" s="50"/>
      <c r="FX149" s="50"/>
      <c r="FY149" s="50"/>
      <c r="FZ149" s="50"/>
      <c r="GA149" s="50"/>
      <c r="GB149" s="50"/>
      <c r="GC149" s="50"/>
      <c r="GD149" s="50"/>
      <c r="GE149" s="50"/>
      <c r="GF149" s="50"/>
      <c r="GG149" s="50"/>
      <c r="GH149" s="50"/>
      <c r="GI149" s="50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="51" customFormat="1" spans="1:209">
      <c r="A150" s="50"/>
      <c r="B150" s="50"/>
      <c r="C150" s="50"/>
      <c r="D150" s="50"/>
      <c r="E150" s="50"/>
      <c r="F150" s="50"/>
      <c r="G150" s="50"/>
      <c r="H150" s="58" t="s">
        <v>272</v>
      </c>
      <c r="I150" s="58" t="s">
        <v>398</v>
      </c>
      <c r="J150" s="59">
        <v>4629</v>
      </c>
      <c r="K150" s="59">
        <v>26172</v>
      </c>
      <c r="L150" s="59">
        <v>113047</v>
      </c>
      <c r="M150" s="59">
        <v>1423</v>
      </c>
      <c r="N150" s="59">
        <v>145271</v>
      </c>
      <c r="O150" s="63"/>
      <c r="P150" s="63">
        <f t="shared" si="4"/>
        <v>-145271</v>
      </c>
      <c r="Q150" s="50"/>
      <c r="R150" s="50"/>
      <c r="S150" s="69" t="s">
        <v>272</v>
      </c>
      <c r="T150" s="50"/>
      <c r="U150" s="52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  <c r="BU150" s="50"/>
      <c r="BV150" s="50"/>
      <c r="BW150" s="50"/>
      <c r="BX150" s="50"/>
      <c r="BY150" s="50"/>
      <c r="BZ150" s="50"/>
      <c r="CA150" s="50"/>
      <c r="CB150" s="50"/>
      <c r="CC150" s="50"/>
      <c r="CD150" s="50"/>
      <c r="CE150" s="50"/>
      <c r="CF150" s="50"/>
      <c r="CG150" s="50"/>
      <c r="CH150" s="50"/>
      <c r="CI150" s="50"/>
      <c r="CJ150" s="50"/>
      <c r="CK150" s="50"/>
      <c r="CL150" s="50"/>
      <c r="CM150" s="50"/>
      <c r="CN150" s="50"/>
      <c r="CO150" s="50"/>
      <c r="CP150" s="50"/>
      <c r="CQ150" s="50"/>
      <c r="CR150" s="50"/>
      <c r="CS150" s="50"/>
      <c r="CT150" s="50"/>
      <c r="CU150" s="50"/>
      <c r="CV150" s="50"/>
      <c r="CW150" s="50"/>
      <c r="CX150" s="50"/>
      <c r="CY150" s="50"/>
      <c r="CZ150" s="50"/>
      <c r="DA150" s="50"/>
      <c r="DB150" s="50"/>
      <c r="DC150" s="50"/>
      <c r="DD150" s="50"/>
      <c r="DE150" s="50"/>
      <c r="DF150" s="50"/>
      <c r="DG150" s="50"/>
      <c r="DH150" s="50"/>
      <c r="DI150" s="50"/>
      <c r="DJ150" s="50"/>
      <c r="DK150" s="50"/>
      <c r="DL150" s="50"/>
      <c r="DM150" s="50"/>
      <c r="DN150" s="50"/>
      <c r="DO150" s="50"/>
      <c r="DP150" s="50"/>
      <c r="DQ150" s="50"/>
      <c r="DR150" s="50"/>
      <c r="DS150" s="50"/>
      <c r="DT150" s="50"/>
      <c r="DU150" s="50"/>
      <c r="DV150" s="50"/>
      <c r="DW150" s="50"/>
      <c r="DX150" s="50"/>
      <c r="DY150" s="50"/>
      <c r="DZ150" s="50"/>
      <c r="EA150" s="50"/>
      <c r="EB150" s="50"/>
      <c r="EC150" s="50"/>
      <c r="ED150" s="50"/>
      <c r="EE150" s="50"/>
      <c r="EF150" s="50"/>
      <c r="EG150" s="50"/>
      <c r="EH150" s="50"/>
      <c r="EI150" s="50"/>
      <c r="EJ150" s="50"/>
      <c r="EK150" s="50"/>
      <c r="EL150" s="50"/>
      <c r="EM150" s="50"/>
      <c r="EN150" s="50"/>
      <c r="EO150" s="50"/>
      <c r="EP150" s="50"/>
      <c r="EQ150" s="50"/>
      <c r="ER150" s="50"/>
      <c r="ES150" s="50"/>
      <c r="ET150" s="50"/>
      <c r="EU150" s="50"/>
      <c r="EV150" s="50"/>
      <c r="EW150" s="50"/>
      <c r="EX150" s="50"/>
      <c r="EY150" s="50"/>
      <c r="EZ150" s="50"/>
      <c r="FA150" s="50"/>
      <c r="FB150" s="50"/>
      <c r="FC150" s="50"/>
      <c r="FD150" s="50"/>
      <c r="FE150" s="50"/>
      <c r="FF150" s="50"/>
      <c r="FG150" s="50"/>
      <c r="FH150" s="50"/>
      <c r="FI150" s="50"/>
      <c r="FJ150" s="50"/>
      <c r="FK150" s="50"/>
      <c r="FL150" s="50"/>
      <c r="FM150" s="50"/>
      <c r="FN150" s="50"/>
      <c r="FO150" s="50"/>
      <c r="FP150" s="50"/>
      <c r="FQ150" s="50"/>
      <c r="FR150" s="50"/>
      <c r="FS150" s="50"/>
      <c r="FT150" s="50"/>
      <c r="FU150" s="50"/>
      <c r="FV150" s="50"/>
      <c r="FW150" s="50"/>
      <c r="FX150" s="50"/>
      <c r="FY150" s="50"/>
      <c r="FZ150" s="50"/>
      <c r="GA150" s="50"/>
      <c r="GB150" s="50"/>
      <c r="GC150" s="50"/>
      <c r="GD150" s="50"/>
      <c r="GE150" s="50"/>
      <c r="GF150" s="50"/>
      <c r="GG150" s="50"/>
      <c r="GH150" s="50"/>
      <c r="GI150" s="50"/>
      <c r="GJ150" s="50"/>
      <c r="GK150" s="50"/>
      <c r="GL150" s="50"/>
      <c r="GM150" s="50"/>
      <c r="GN150" s="50"/>
      <c r="GO150" s="50"/>
      <c r="GP150" s="50"/>
      <c r="GQ150" s="50"/>
      <c r="GR150" s="50"/>
      <c r="GS150" s="50"/>
      <c r="GT150" s="50"/>
      <c r="GU150" s="50"/>
      <c r="GV150" s="50"/>
      <c r="GW150" s="50"/>
      <c r="GX150" s="50"/>
      <c r="GY150" s="50"/>
      <c r="GZ150" s="50"/>
      <c r="HA150" s="50"/>
    </row>
    <row r="151" s="51" customFormat="1" spans="1:209">
      <c r="A151" s="50"/>
      <c r="B151" s="50"/>
      <c r="C151" s="50"/>
      <c r="D151" s="50"/>
      <c r="E151" s="50"/>
      <c r="F151" s="50"/>
      <c r="G151" s="50"/>
      <c r="H151" s="58" t="s">
        <v>272</v>
      </c>
      <c r="I151" s="58" t="s">
        <v>399</v>
      </c>
      <c r="J151" s="59">
        <v>2953</v>
      </c>
      <c r="K151" s="59">
        <v>7787</v>
      </c>
      <c r="L151" s="59">
        <v>85313</v>
      </c>
      <c r="M151" s="59">
        <v>981</v>
      </c>
      <c r="N151" s="59">
        <v>97034</v>
      </c>
      <c r="O151" s="63"/>
      <c r="P151" s="63">
        <f t="shared" si="4"/>
        <v>-97034</v>
      </c>
      <c r="Q151" s="50"/>
      <c r="R151" s="50"/>
      <c r="S151" s="69" t="s">
        <v>272</v>
      </c>
      <c r="T151" s="50"/>
      <c r="U151" s="52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  <c r="CZ151" s="50"/>
      <c r="DA151" s="50"/>
      <c r="DB151" s="50"/>
      <c r="DC151" s="50"/>
      <c r="DD151" s="50"/>
      <c r="DE151" s="50"/>
      <c r="DF151" s="50"/>
      <c r="DG151" s="50"/>
      <c r="DH151" s="50"/>
      <c r="DI151" s="50"/>
      <c r="DJ151" s="50"/>
      <c r="DK151" s="50"/>
      <c r="DL151" s="50"/>
      <c r="DM151" s="50"/>
      <c r="DN151" s="50"/>
      <c r="DO151" s="50"/>
      <c r="DP151" s="50"/>
      <c r="DQ151" s="50"/>
      <c r="DR151" s="50"/>
      <c r="DS151" s="50"/>
      <c r="DT151" s="50"/>
      <c r="DU151" s="50"/>
      <c r="DV151" s="50"/>
      <c r="DW151" s="50"/>
      <c r="DX151" s="50"/>
      <c r="DY151" s="50"/>
      <c r="DZ151" s="50"/>
      <c r="EA151" s="50"/>
      <c r="EB151" s="50"/>
      <c r="EC151" s="50"/>
      <c r="ED151" s="50"/>
      <c r="EE151" s="50"/>
      <c r="EF151" s="50"/>
      <c r="EG151" s="50"/>
      <c r="EH151" s="50"/>
      <c r="EI151" s="50"/>
      <c r="EJ151" s="50"/>
      <c r="EK151" s="50"/>
      <c r="EL151" s="50"/>
      <c r="EM151" s="50"/>
      <c r="EN151" s="50"/>
      <c r="EO151" s="50"/>
      <c r="EP151" s="50"/>
      <c r="EQ151" s="50"/>
      <c r="ER151" s="50"/>
      <c r="ES151" s="50"/>
      <c r="ET151" s="50"/>
      <c r="EU151" s="50"/>
      <c r="EV151" s="50"/>
      <c r="EW151" s="50"/>
      <c r="EX151" s="50"/>
      <c r="EY151" s="50"/>
      <c r="EZ151" s="50"/>
      <c r="FA151" s="50"/>
      <c r="FB151" s="50"/>
      <c r="FC151" s="50"/>
      <c r="FD151" s="50"/>
      <c r="FE151" s="50"/>
      <c r="FF151" s="50"/>
      <c r="FG151" s="50"/>
      <c r="FH151" s="50"/>
      <c r="FI151" s="50"/>
      <c r="FJ151" s="50"/>
      <c r="FK151" s="50"/>
      <c r="FL151" s="50"/>
      <c r="FM151" s="50"/>
      <c r="FN151" s="50"/>
      <c r="FO151" s="50"/>
      <c r="FP151" s="50"/>
      <c r="FQ151" s="50"/>
      <c r="FR151" s="50"/>
      <c r="FS151" s="50"/>
      <c r="FT151" s="50"/>
      <c r="FU151" s="50"/>
      <c r="FV151" s="50"/>
      <c r="FW151" s="50"/>
      <c r="FX151" s="50"/>
      <c r="FY151" s="50"/>
      <c r="FZ151" s="50"/>
      <c r="GA151" s="50"/>
      <c r="GB151" s="50"/>
      <c r="GC151" s="50"/>
      <c r="GD151" s="50"/>
      <c r="GE151" s="50"/>
      <c r="GF151" s="50"/>
      <c r="GG151" s="50"/>
      <c r="GH151" s="50"/>
      <c r="GI151" s="50"/>
      <c r="GJ151" s="50"/>
      <c r="GK151" s="50"/>
      <c r="GL151" s="50"/>
      <c r="GM151" s="50"/>
      <c r="GN151" s="50"/>
      <c r="GO151" s="50"/>
      <c r="GP151" s="50"/>
      <c r="GQ151" s="50"/>
      <c r="GR151" s="50"/>
      <c r="GS151" s="50"/>
      <c r="GT151" s="50"/>
      <c r="GU151" s="50"/>
      <c r="GV151" s="50"/>
      <c r="GW151" s="50"/>
      <c r="GX151" s="50"/>
      <c r="GY151" s="50"/>
      <c r="GZ151" s="50"/>
      <c r="HA151" s="50"/>
    </row>
    <row r="152" s="51" customFormat="1" spans="1:209">
      <c r="A152" s="50"/>
      <c r="B152" s="50"/>
      <c r="C152" s="50"/>
      <c r="D152" s="50"/>
      <c r="E152" s="50"/>
      <c r="F152" s="50"/>
      <c r="G152" s="50"/>
      <c r="H152" s="58" t="s">
        <v>272</v>
      </c>
      <c r="I152" s="58" t="s">
        <v>400</v>
      </c>
      <c r="J152" s="59">
        <v>3278</v>
      </c>
      <c r="K152" s="59">
        <v>19328</v>
      </c>
      <c r="L152" s="59">
        <v>108641</v>
      </c>
      <c r="M152" s="59">
        <v>792</v>
      </c>
      <c r="N152" s="59">
        <v>132039</v>
      </c>
      <c r="O152" s="63"/>
      <c r="P152" s="63">
        <f t="shared" si="4"/>
        <v>-132039</v>
      </c>
      <c r="Q152" s="50"/>
      <c r="R152" s="50"/>
      <c r="S152" s="69" t="s">
        <v>272</v>
      </c>
      <c r="T152" s="50"/>
      <c r="U152" s="52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0"/>
      <c r="BR152" s="50"/>
      <c r="BS152" s="50"/>
      <c r="BT152" s="50"/>
      <c r="BU152" s="50"/>
      <c r="BV152" s="50"/>
      <c r="BW152" s="50"/>
      <c r="BX152" s="50"/>
      <c r="BY152" s="50"/>
      <c r="BZ152" s="50"/>
      <c r="CA152" s="50"/>
      <c r="CB152" s="50"/>
      <c r="CC152" s="50"/>
      <c r="CD152" s="50"/>
      <c r="CE152" s="50"/>
      <c r="CF152" s="50"/>
      <c r="CG152" s="50"/>
      <c r="CH152" s="50"/>
      <c r="CI152" s="50"/>
      <c r="CJ152" s="50"/>
      <c r="CK152" s="50"/>
      <c r="CL152" s="50"/>
      <c r="CM152" s="50"/>
      <c r="CN152" s="50"/>
      <c r="CO152" s="50"/>
      <c r="CP152" s="50"/>
      <c r="CQ152" s="50"/>
      <c r="CR152" s="50"/>
      <c r="CS152" s="50"/>
      <c r="CT152" s="50"/>
      <c r="CU152" s="50"/>
      <c r="CV152" s="50"/>
      <c r="CW152" s="50"/>
      <c r="CX152" s="50"/>
      <c r="CY152" s="50"/>
      <c r="CZ152" s="50"/>
      <c r="DA152" s="50"/>
      <c r="DB152" s="50"/>
      <c r="DC152" s="50"/>
      <c r="DD152" s="50"/>
      <c r="DE152" s="50"/>
      <c r="DF152" s="50"/>
      <c r="DG152" s="50"/>
      <c r="DH152" s="50"/>
      <c r="DI152" s="50"/>
      <c r="DJ152" s="50"/>
      <c r="DK152" s="50"/>
      <c r="DL152" s="50"/>
      <c r="DM152" s="50"/>
      <c r="DN152" s="50"/>
      <c r="DO152" s="50"/>
      <c r="DP152" s="50"/>
      <c r="DQ152" s="50"/>
      <c r="DR152" s="50"/>
      <c r="DS152" s="50"/>
      <c r="DT152" s="50"/>
      <c r="DU152" s="50"/>
      <c r="DV152" s="50"/>
      <c r="DW152" s="50"/>
      <c r="DX152" s="50"/>
      <c r="DY152" s="50"/>
      <c r="DZ152" s="50"/>
      <c r="EA152" s="50"/>
      <c r="EB152" s="50"/>
      <c r="EC152" s="50"/>
      <c r="ED152" s="50"/>
      <c r="EE152" s="50"/>
      <c r="EF152" s="50"/>
      <c r="EG152" s="50"/>
      <c r="EH152" s="50"/>
      <c r="EI152" s="50"/>
      <c r="EJ152" s="50"/>
      <c r="EK152" s="50"/>
      <c r="EL152" s="50"/>
      <c r="EM152" s="50"/>
      <c r="EN152" s="50"/>
      <c r="EO152" s="50"/>
      <c r="EP152" s="50"/>
      <c r="EQ152" s="50"/>
      <c r="ER152" s="50"/>
      <c r="ES152" s="50"/>
      <c r="ET152" s="50"/>
      <c r="EU152" s="50"/>
      <c r="EV152" s="50"/>
      <c r="EW152" s="50"/>
      <c r="EX152" s="50"/>
      <c r="EY152" s="50"/>
      <c r="EZ152" s="50"/>
      <c r="FA152" s="50"/>
      <c r="FB152" s="50"/>
      <c r="FC152" s="50"/>
      <c r="FD152" s="50"/>
      <c r="FE152" s="50"/>
      <c r="FF152" s="50"/>
      <c r="FG152" s="50"/>
      <c r="FH152" s="50"/>
      <c r="FI152" s="50"/>
      <c r="FJ152" s="50"/>
      <c r="FK152" s="50"/>
      <c r="FL152" s="50"/>
      <c r="FM152" s="50"/>
      <c r="FN152" s="50"/>
      <c r="FO152" s="50"/>
      <c r="FP152" s="50"/>
      <c r="FQ152" s="50"/>
      <c r="FR152" s="50"/>
      <c r="FS152" s="50"/>
      <c r="FT152" s="50"/>
      <c r="FU152" s="50"/>
      <c r="FV152" s="50"/>
      <c r="FW152" s="50"/>
      <c r="FX152" s="50"/>
      <c r="FY152" s="50"/>
      <c r="FZ152" s="50"/>
      <c r="GA152" s="50"/>
      <c r="GB152" s="50"/>
      <c r="GC152" s="50"/>
      <c r="GD152" s="50"/>
      <c r="GE152" s="50"/>
      <c r="GF152" s="50"/>
      <c r="GG152" s="50"/>
      <c r="GH152" s="50"/>
      <c r="GI152" s="50"/>
      <c r="GJ152" s="50"/>
      <c r="GK152" s="50"/>
      <c r="GL152" s="50"/>
      <c r="GM152" s="50"/>
      <c r="GN152" s="50"/>
      <c r="GO152" s="50"/>
      <c r="GP152" s="50"/>
      <c r="GQ152" s="50"/>
      <c r="GR152" s="50"/>
      <c r="GS152" s="50"/>
      <c r="GT152" s="50"/>
      <c r="GU152" s="50"/>
      <c r="GV152" s="50"/>
      <c r="GW152" s="50"/>
      <c r="GX152" s="50"/>
      <c r="GY152" s="50"/>
      <c r="GZ152" s="50"/>
      <c r="HA152" s="50"/>
    </row>
    <row r="153" s="51" customFormat="1" spans="1:209">
      <c r="A153" s="50"/>
      <c r="B153" s="50"/>
      <c r="C153" s="50"/>
      <c r="D153" s="50"/>
      <c r="E153" s="50"/>
      <c r="F153" s="50"/>
      <c r="G153" s="50"/>
      <c r="H153" s="58" t="s">
        <v>272</v>
      </c>
      <c r="I153" s="58" t="s">
        <v>401</v>
      </c>
      <c r="J153" s="59">
        <v>860</v>
      </c>
      <c r="K153" s="59">
        <v>2543</v>
      </c>
      <c r="L153" s="59">
        <v>34728</v>
      </c>
      <c r="M153" s="59">
        <v>2642</v>
      </c>
      <c r="N153" s="59">
        <v>40773</v>
      </c>
      <c r="O153" s="63"/>
      <c r="P153" s="63">
        <f t="shared" si="4"/>
        <v>-40773</v>
      </c>
      <c r="Q153" s="50"/>
      <c r="R153" s="50"/>
      <c r="S153" s="69" t="s">
        <v>272</v>
      </c>
      <c r="T153" s="50"/>
      <c r="U153" s="52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0"/>
      <c r="BR153" s="50"/>
      <c r="BS153" s="50"/>
      <c r="BT153" s="50"/>
      <c r="BU153" s="50"/>
      <c r="BV153" s="50"/>
      <c r="BW153" s="50"/>
      <c r="BX153" s="50"/>
      <c r="BY153" s="50"/>
      <c r="BZ153" s="50"/>
      <c r="CA153" s="50"/>
      <c r="CB153" s="50"/>
      <c r="CC153" s="50"/>
      <c r="CD153" s="50"/>
      <c r="CE153" s="50"/>
      <c r="CF153" s="50"/>
      <c r="CG153" s="50"/>
      <c r="CH153" s="50"/>
      <c r="CI153" s="50"/>
      <c r="CJ153" s="50"/>
      <c r="CK153" s="50"/>
      <c r="CL153" s="50"/>
      <c r="CM153" s="50"/>
      <c r="CN153" s="50"/>
      <c r="CO153" s="50"/>
      <c r="CP153" s="50"/>
      <c r="CQ153" s="50"/>
      <c r="CR153" s="50"/>
      <c r="CS153" s="50"/>
      <c r="CT153" s="50"/>
      <c r="CU153" s="50"/>
      <c r="CV153" s="50"/>
      <c r="CW153" s="50"/>
      <c r="CX153" s="50"/>
      <c r="CY153" s="50"/>
      <c r="CZ153" s="50"/>
      <c r="DA153" s="50"/>
      <c r="DB153" s="50"/>
      <c r="DC153" s="50"/>
      <c r="DD153" s="50"/>
      <c r="DE153" s="50"/>
      <c r="DF153" s="50"/>
      <c r="DG153" s="50"/>
      <c r="DH153" s="50"/>
      <c r="DI153" s="50"/>
      <c r="DJ153" s="50"/>
      <c r="DK153" s="50"/>
      <c r="DL153" s="50"/>
      <c r="DM153" s="50"/>
      <c r="DN153" s="50"/>
      <c r="DO153" s="50"/>
      <c r="DP153" s="50"/>
      <c r="DQ153" s="50"/>
      <c r="DR153" s="50"/>
      <c r="DS153" s="50"/>
      <c r="DT153" s="50"/>
      <c r="DU153" s="50"/>
      <c r="DV153" s="50"/>
      <c r="DW153" s="50"/>
      <c r="DX153" s="50"/>
      <c r="DY153" s="50"/>
      <c r="DZ153" s="50"/>
      <c r="EA153" s="50"/>
      <c r="EB153" s="50"/>
      <c r="EC153" s="50"/>
      <c r="ED153" s="50"/>
      <c r="EE153" s="50"/>
      <c r="EF153" s="50"/>
      <c r="EG153" s="50"/>
      <c r="EH153" s="50"/>
      <c r="EI153" s="50"/>
      <c r="EJ153" s="50"/>
      <c r="EK153" s="50"/>
      <c r="EL153" s="50"/>
      <c r="EM153" s="50"/>
      <c r="EN153" s="50"/>
      <c r="EO153" s="50"/>
      <c r="EP153" s="50"/>
      <c r="EQ153" s="50"/>
      <c r="ER153" s="50"/>
      <c r="ES153" s="50"/>
      <c r="ET153" s="50"/>
      <c r="EU153" s="50"/>
      <c r="EV153" s="50"/>
      <c r="EW153" s="50"/>
      <c r="EX153" s="50"/>
      <c r="EY153" s="50"/>
      <c r="EZ153" s="50"/>
      <c r="FA153" s="50"/>
      <c r="FB153" s="50"/>
      <c r="FC153" s="50"/>
      <c r="FD153" s="50"/>
      <c r="FE153" s="50"/>
      <c r="FF153" s="50"/>
      <c r="FG153" s="50"/>
      <c r="FH153" s="50"/>
      <c r="FI153" s="50"/>
      <c r="FJ153" s="50"/>
      <c r="FK153" s="50"/>
      <c r="FL153" s="50"/>
      <c r="FM153" s="50"/>
      <c r="FN153" s="50"/>
      <c r="FO153" s="50"/>
      <c r="FP153" s="50"/>
      <c r="FQ153" s="50"/>
      <c r="FR153" s="50"/>
      <c r="FS153" s="50"/>
      <c r="FT153" s="50"/>
      <c r="FU153" s="50"/>
      <c r="FV153" s="50"/>
      <c r="FW153" s="50"/>
      <c r="FX153" s="50"/>
      <c r="FY153" s="50"/>
      <c r="FZ153" s="50"/>
      <c r="GA153" s="50"/>
      <c r="GB153" s="50"/>
      <c r="GC153" s="50"/>
      <c r="GD153" s="50"/>
      <c r="GE153" s="50"/>
      <c r="GF153" s="50"/>
      <c r="GG153" s="50"/>
      <c r="GH153" s="50"/>
      <c r="GI153" s="50"/>
      <c r="GJ153" s="50"/>
      <c r="GK153" s="50"/>
      <c r="GL153" s="50"/>
      <c r="GM153" s="50"/>
      <c r="GN153" s="50"/>
      <c r="GO153" s="50"/>
      <c r="GP153" s="50"/>
      <c r="GQ153" s="50"/>
      <c r="GR153" s="50"/>
      <c r="GS153" s="50"/>
      <c r="GT153" s="50"/>
      <c r="GU153" s="50"/>
      <c r="GV153" s="50"/>
      <c r="GW153" s="50"/>
      <c r="GX153" s="50"/>
      <c r="GY153" s="50"/>
      <c r="GZ153" s="50"/>
      <c r="HA153" s="50"/>
    </row>
    <row r="154" s="51" customFormat="1" spans="1:209">
      <c r="A154" s="50"/>
      <c r="B154" s="50"/>
      <c r="C154" s="50"/>
      <c r="D154" s="50"/>
      <c r="E154" s="50"/>
      <c r="F154" s="50"/>
      <c r="G154" s="50"/>
      <c r="H154" s="60" t="s">
        <v>270</v>
      </c>
      <c r="I154" s="60" t="s">
        <v>402</v>
      </c>
      <c r="J154" s="59">
        <v>17804</v>
      </c>
      <c r="K154" s="59">
        <v>99969</v>
      </c>
      <c r="L154" s="59">
        <v>383493</v>
      </c>
      <c r="M154" s="59">
        <v>2377</v>
      </c>
      <c r="N154" s="59">
        <v>503643</v>
      </c>
      <c r="O154" s="63"/>
      <c r="P154" s="63">
        <f t="shared" si="4"/>
        <v>-503643</v>
      </c>
      <c r="Q154" s="50"/>
      <c r="R154" s="50"/>
      <c r="S154" s="69" t="s">
        <v>270</v>
      </c>
      <c r="T154" s="50"/>
      <c r="U154" s="52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  <c r="BP154" s="50"/>
      <c r="BQ154" s="50"/>
      <c r="BR154" s="50"/>
      <c r="BS154" s="50"/>
      <c r="BT154" s="50"/>
      <c r="BU154" s="50"/>
      <c r="BV154" s="50"/>
      <c r="BW154" s="50"/>
      <c r="BX154" s="50"/>
      <c r="BY154" s="50"/>
      <c r="BZ154" s="50"/>
      <c r="CA154" s="50"/>
      <c r="CB154" s="50"/>
      <c r="CC154" s="50"/>
      <c r="CD154" s="50"/>
      <c r="CE154" s="50"/>
      <c r="CF154" s="50"/>
      <c r="CG154" s="50"/>
      <c r="CH154" s="50"/>
      <c r="CI154" s="50"/>
      <c r="CJ154" s="50"/>
      <c r="CK154" s="50"/>
      <c r="CL154" s="50"/>
      <c r="CM154" s="50"/>
      <c r="CN154" s="50"/>
      <c r="CO154" s="50"/>
      <c r="CP154" s="50"/>
      <c r="CQ154" s="50"/>
      <c r="CR154" s="50"/>
      <c r="CS154" s="50"/>
      <c r="CT154" s="50"/>
      <c r="CU154" s="50"/>
      <c r="CV154" s="50"/>
      <c r="CW154" s="50"/>
      <c r="CX154" s="50"/>
      <c r="CY154" s="50"/>
      <c r="CZ154" s="50"/>
      <c r="DA154" s="50"/>
      <c r="DB154" s="50"/>
      <c r="DC154" s="50"/>
      <c r="DD154" s="50"/>
      <c r="DE154" s="50"/>
      <c r="DF154" s="50"/>
      <c r="DG154" s="50"/>
      <c r="DH154" s="50"/>
      <c r="DI154" s="50"/>
      <c r="DJ154" s="50"/>
      <c r="DK154" s="50"/>
      <c r="DL154" s="50"/>
      <c r="DM154" s="50"/>
      <c r="DN154" s="50"/>
      <c r="DO154" s="50"/>
      <c r="DP154" s="50"/>
      <c r="DQ154" s="50"/>
      <c r="DR154" s="50"/>
      <c r="DS154" s="50"/>
      <c r="DT154" s="50"/>
      <c r="DU154" s="50"/>
      <c r="DV154" s="50"/>
      <c r="DW154" s="50"/>
      <c r="DX154" s="50"/>
      <c r="DY154" s="50"/>
      <c r="DZ154" s="50"/>
      <c r="EA154" s="50"/>
      <c r="EB154" s="50"/>
      <c r="EC154" s="50"/>
      <c r="ED154" s="50"/>
      <c r="EE154" s="50"/>
      <c r="EF154" s="50"/>
      <c r="EG154" s="50"/>
      <c r="EH154" s="50"/>
      <c r="EI154" s="50"/>
      <c r="EJ154" s="50"/>
      <c r="EK154" s="50"/>
      <c r="EL154" s="50"/>
      <c r="EM154" s="50"/>
      <c r="EN154" s="50"/>
      <c r="EO154" s="50"/>
      <c r="EP154" s="50"/>
      <c r="EQ154" s="50"/>
      <c r="ER154" s="50"/>
      <c r="ES154" s="50"/>
      <c r="ET154" s="50"/>
      <c r="EU154" s="50"/>
      <c r="EV154" s="50"/>
      <c r="EW154" s="50"/>
      <c r="EX154" s="50"/>
      <c r="EY154" s="50"/>
      <c r="EZ154" s="50"/>
      <c r="FA154" s="50"/>
      <c r="FB154" s="50"/>
      <c r="FC154" s="50"/>
      <c r="FD154" s="50"/>
      <c r="FE154" s="50"/>
      <c r="FF154" s="50"/>
      <c r="FG154" s="50"/>
      <c r="FH154" s="50"/>
      <c r="FI154" s="50"/>
      <c r="FJ154" s="50"/>
      <c r="FK154" s="50"/>
      <c r="FL154" s="50"/>
      <c r="FM154" s="50"/>
      <c r="FN154" s="50"/>
      <c r="FO154" s="50"/>
      <c r="FP154" s="50"/>
      <c r="FQ154" s="50"/>
      <c r="FR154" s="50"/>
      <c r="FS154" s="50"/>
      <c r="FT154" s="50"/>
      <c r="FU154" s="50"/>
      <c r="FV154" s="50"/>
      <c r="FW154" s="50"/>
      <c r="FX154" s="50"/>
      <c r="FY154" s="50"/>
      <c r="FZ154" s="50"/>
      <c r="GA154" s="50"/>
      <c r="GB154" s="50"/>
      <c r="GC154" s="50"/>
      <c r="GD154" s="50"/>
      <c r="GE154" s="50"/>
      <c r="GF154" s="50"/>
      <c r="GG154" s="50"/>
      <c r="GH154" s="50"/>
      <c r="GI154" s="50"/>
      <c r="GJ154" s="50"/>
      <c r="GK154" s="50"/>
      <c r="GL154" s="50"/>
      <c r="GM154" s="50"/>
      <c r="GN154" s="50"/>
      <c r="GO154" s="50"/>
      <c r="GP154" s="50"/>
      <c r="GQ154" s="50"/>
      <c r="GR154" s="50"/>
      <c r="GS154" s="50"/>
      <c r="GT154" s="50"/>
      <c r="GU154" s="50"/>
      <c r="GV154" s="50"/>
      <c r="GW154" s="50"/>
      <c r="GX154" s="50"/>
      <c r="GY154" s="50"/>
      <c r="GZ154" s="50"/>
      <c r="HA154" s="50"/>
    </row>
    <row r="155" s="51" customFormat="1" spans="1:209">
      <c r="A155" s="50"/>
      <c r="B155" s="50"/>
      <c r="C155" s="50"/>
      <c r="D155" s="50"/>
      <c r="E155" s="50"/>
      <c r="F155" s="50"/>
      <c r="G155" s="50"/>
      <c r="H155" s="60" t="s">
        <v>270</v>
      </c>
      <c r="I155" s="60" t="s">
        <v>403</v>
      </c>
      <c r="J155" s="59">
        <v>10822</v>
      </c>
      <c r="K155" s="59">
        <v>63618</v>
      </c>
      <c r="L155" s="59">
        <v>277049</v>
      </c>
      <c r="M155" s="59">
        <v>4270</v>
      </c>
      <c r="N155" s="59">
        <v>355759</v>
      </c>
      <c r="O155" s="63"/>
      <c r="P155" s="63">
        <f t="shared" si="4"/>
        <v>-355759</v>
      </c>
      <c r="Q155" s="50"/>
      <c r="R155" s="50"/>
      <c r="S155" s="69" t="s">
        <v>270</v>
      </c>
      <c r="T155" s="50"/>
      <c r="U155" s="52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  <c r="BP155" s="50"/>
      <c r="BQ155" s="50"/>
      <c r="BR155" s="50"/>
      <c r="BS155" s="50"/>
      <c r="BT155" s="50"/>
      <c r="BU155" s="50"/>
      <c r="BV155" s="50"/>
      <c r="BW155" s="50"/>
      <c r="BX155" s="50"/>
      <c r="BY155" s="50"/>
      <c r="BZ155" s="50"/>
      <c r="CA155" s="50"/>
      <c r="CB155" s="50"/>
      <c r="CC155" s="50"/>
      <c r="CD155" s="50"/>
      <c r="CE155" s="50"/>
      <c r="CF155" s="50"/>
      <c r="CG155" s="50"/>
      <c r="CH155" s="50"/>
      <c r="CI155" s="50"/>
      <c r="CJ155" s="50"/>
      <c r="CK155" s="50"/>
      <c r="CL155" s="50"/>
      <c r="CM155" s="50"/>
      <c r="CN155" s="50"/>
      <c r="CO155" s="50"/>
      <c r="CP155" s="50"/>
      <c r="CQ155" s="50"/>
      <c r="CR155" s="50"/>
      <c r="CS155" s="50"/>
      <c r="CT155" s="50"/>
      <c r="CU155" s="50"/>
      <c r="CV155" s="50"/>
      <c r="CW155" s="50"/>
      <c r="CX155" s="50"/>
      <c r="CY155" s="50"/>
      <c r="CZ155" s="50"/>
      <c r="DA155" s="50"/>
      <c r="DB155" s="50"/>
      <c r="DC155" s="50"/>
      <c r="DD155" s="50"/>
      <c r="DE155" s="50"/>
      <c r="DF155" s="50"/>
      <c r="DG155" s="50"/>
      <c r="DH155" s="50"/>
      <c r="DI155" s="50"/>
      <c r="DJ155" s="50"/>
      <c r="DK155" s="50"/>
      <c r="DL155" s="50"/>
      <c r="DM155" s="50"/>
      <c r="DN155" s="50"/>
      <c r="DO155" s="50"/>
      <c r="DP155" s="50"/>
      <c r="DQ155" s="50"/>
      <c r="DR155" s="50"/>
      <c r="DS155" s="50"/>
      <c r="DT155" s="50"/>
      <c r="DU155" s="50"/>
      <c r="DV155" s="50"/>
      <c r="DW155" s="50"/>
      <c r="DX155" s="50"/>
      <c r="DY155" s="50"/>
      <c r="DZ155" s="50"/>
      <c r="EA155" s="50"/>
      <c r="EB155" s="50"/>
      <c r="EC155" s="50"/>
      <c r="ED155" s="50"/>
      <c r="EE155" s="50"/>
      <c r="EF155" s="50"/>
      <c r="EG155" s="50"/>
      <c r="EH155" s="50"/>
      <c r="EI155" s="50"/>
      <c r="EJ155" s="50"/>
      <c r="EK155" s="50"/>
      <c r="EL155" s="50"/>
      <c r="EM155" s="50"/>
      <c r="EN155" s="50"/>
      <c r="EO155" s="50"/>
      <c r="EP155" s="50"/>
      <c r="EQ155" s="50"/>
      <c r="ER155" s="50"/>
      <c r="ES155" s="50"/>
      <c r="ET155" s="50"/>
      <c r="EU155" s="50"/>
      <c r="EV155" s="50"/>
      <c r="EW155" s="50"/>
      <c r="EX155" s="50"/>
      <c r="EY155" s="50"/>
      <c r="EZ155" s="50"/>
      <c r="FA155" s="50"/>
      <c r="FB155" s="50"/>
      <c r="FC155" s="50"/>
      <c r="FD155" s="50"/>
      <c r="FE155" s="50"/>
      <c r="FF155" s="50"/>
      <c r="FG155" s="50"/>
      <c r="FH155" s="50"/>
      <c r="FI155" s="50"/>
      <c r="FJ155" s="50"/>
      <c r="FK155" s="50"/>
      <c r="FL155" s="50"/>
      <c r="FM155" s="50"/>
      <c r="FN155" s="50"/>
      <c r="FO155" s="50"/>
      <c r="FP155" s="50"/>
      <c r="FQ155" s="50"/>
      <c r="FR155" s="50"/>
      <c r="FS155" s="50"/>
      <c r="FT155" s="50"/>
      <c r="FU155" s="50"/>
      <c r="FV155" s="50"/>
      <c r="FW155" s="50"/>
      <c r="FX155" s="50"/>
      <c r="FY155" s="50"/>
      <c r="FZ155" s="50"/>
      <c r="GA155" s="50"/>
      <c r="GB155" s="50"/>
      <c r="GC155" s="50"/>
      <c r="GD155" s="50"/>
      <c r="GE155" s="50"/>
      <c r="GF155" s="50"/>
      <c r="GG155" s="50"/>
      <c r="GH155" s="50"/>
      <c r="GI155" s="50"/>
      <c r="GJ155" s="50"/>
      <c r="GK155" s="50"/>
      <c r="GL155" s="50"/>
      <c r="GM155" s="50"/>
      <c r="GN155" s="50"/>
      <c r="GO155" s="50"/>
      <c r="GP155" s="50"/>
      <c r="GQ155" s="50"/>
      <c r="GR155" s="50"/>
      <c r="GS155" s="50"/>
      <c r="GT155" s="50"/>
      <c r="GU155" s="50"/>
      <c r="GV155" s="50"/>
      <c r="GW155" s="50"/>
      <c r="GX155" s="50"/>
      <c r="GY155" s="50"/>
      <c r="GZ155" s="50"/>
      <c r="HA155" s="50"/>
    </row>
    <row r="156" s="51" customFormat="1" spans="1:209">
      <c r="A156" s="50"/>
      <c r="B156" s="50"/>
      <c r="C156" s="50"/>
      <c r="D156" s="50"/>
      <c r="E156" s="50"/>
      <c r="F156" s="50"/>
      <c r="G156" s="50"/>
      <c r="H156" s="60" t="s">
        <v>270</v>
      </c>
      <c r="I156" s="60" t="s">
        <v>404</v>
      </c>
      <c r="J156" s="59">
        <v>6067</v>
      </c>
      <c r="K156" s="59">
        <v>44508</v>
      </c>
      <c r="L156" s="59">
        <v>163836</v>
      </c>
      <c r="M156" s="59">
        <v>2021</v>
      </c>
      <c r="N156" s="59">
        <v>216432</v>
      </c>
      <c r="O156" s="63"/>
      <c r="P156" s="63">
        <f t="shared" si="4"/>
        <v>-216432</v>
      </c>
      <c r="Q156" s="50"/>
      <c r="R156" s="50"/>
      <c r="S156" s="69" t="s">
        <v>270</v>
      </c>
      <c r="T156" s="50"/>
      <c r="U156" s="52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/>
      <c r="BN156" s="50"/>
      <c r="BO156" s="50"/>
      <c r="BP156" s="50"/>
      <c r="BQ156" s="50"/>
      <c r="BR156" s="50"/>
      <c r="BS156" s="50"/>
      <c r="BT156" s="50"/>
      <c r="BU156" s="50"/>
      <c r="BV156" s="50"/>
      <c r="BW156" s="50"/>
      <c r="BX156" s="50"/>
      <c r="BY156" s="50"/>
      <c r="BZ156" s="50"/>
      <c r="CA156" s="50"/>
      <c r="CB156" s="50"/>
      <c r="CC156" s="50"/>
      <c r="CD156" s="50"/>
      <c r="CE156" s="50"/>
      <c r="CF156" s="50"/>
      <c r="CG156" s="50"/>
      <c r="CH156" s="50"/>
      <c r="CI156" s="50"/>
      <c r="CJ156" s="50"/>
      <c r="CK156" s="50"/>
      <c r="CL156" s="50"/>
      <c r="CM156" s="50"/>
      <c r="CN156" s="50"/>
      <c r="CO156" s="50"/>
      <c r="CP156" s="50"/>
      <c r="CQ156" s="50"/>
      <c r="CR156" s="50"/>
      <c r="CS156" s="50"/>
      <c r="CT156" s="50"/>
      <c r="CU156" s="50"/>
      <c r="CV156" s="50"/>
      <c r="CW156" s="50"/>
      <c r="CX156" s="50"/>
      <c r="CY156" s="50"/>
      <c r="CZ156" s="50"/>
      <c r="DA156" s="50"/>
      <c r="DB156" s="50"/>
      <c r="DC156" s="50"/>
      <c r="DD156" s="50"/>
      <c r="DE156" s="50"/>
      <c r="DF156" s="50"/>
      <c r="DG156" s="50"/>
      <c r="DH156" s="50"/>
      <c r="DI156" s="50"/>
      <c r="DJ156" s="50"/>
      <c r="DK156" s="50"/>
      <c r="DL156" s="50"/>
      <c r="DM156" s="50"/>
      <c r="DN156" s="50"/>
      <c r="DO156" s="50"/>
      <c r="DP156" s="50"/>
      <c r="DQ156" s="50"/>
      <c r="DR156" s="50"/>
      <c r="DS156" s="50"/>
      <c r="DT156" s="50"/>
      <c r="DU156" s="50"/>
      <c r="DV156" s="50"/>
      <c r="DW156" s="50"/>
      <c r="DX156" s="50"/>
      <c r="DY156" s="50"/>
      <c r="DZ156" s="50"/>
      <c r="EA156" s="50"/>
      <c r="EB156" s="50"/>
      <c r="EC156" s="50"/>
      <c r="ED156" s="50"/>
      <c r="EE156" s="50"/>
      <c r="EF156" s="50"/>
      <c r="EG156" s="50"/>
      <c r="EH156" s="50"/>
      <c r="EI156" s="50"/>
      <c r="EJ156" s="50"/>
      <c r="EK156" s="50"/>
      <c r="EL156" s="50"/>
      <c r="EM156" s="50"/>
      <c r="EN156" s="50"/>
      <c r="EO156" s="50"/>
      <c r="EP156" s="50"/>
      <c r="EQ156" s="50"/>
      <c r="ER156" s="50"/>
      <c r="ES156" s="50"/>
      <c r="ET156" s="50"/>
      <c r="EU156" s="50"/>
      <c r="EV156" s="50"/>
      <c r="EW156" s="50"/>
      <c r="EX156" s="50"/>
      <c r="EY156" s="50"/>
      <c r="EZ156" s="50"/>
      <c r="FA156" s="50"/>
      <c r="FB156" s="50"/>
      <c r="FC156" s="50"/>
      <c r="FD156" s="50"/>
      <c r="FE156" s="50"/>
      <c r="FF156" s="50"/>
      <c r="FG156" s="50"/>
      <c r="FH156" s="50"/>
      <c r="FI156" s="50"/>
      <c r="FJ156" s="50"/>
      <c r="FK156" s="50"/>
      <c r="FL156" s="50"/>
      <c r="FM156" s="50"/>
      <c r="FN156" s="50"/>
      <c r="FO156" s="50"/>
      <c r="FP156" s="50"/>
      <c r="FQ156" s="50"/>
      <c r="FR156" s="50"/>
      <c r="FS156" s="50"/>
      <c r="FT156" s="50"/>
      <c r="FU156" s="50"/>
      <c r="FV156" s="50"/>
      <c r="FW156" s="50"/>
      <c r="FX156" s="50"/>
      <c r="FY156" s="50"/>
      <c r="FZ156" s="50"/>
      <c r="GA156" s="50"/>
      <c r="GB156" s="50"/>
      <c r="GC156" s="50"/>
      <c r="GD156" s="50"/>
      <c r="GE156" s="50"/>
      <c r="GF156" s="50"/>
      <c r="GG156" s="50"/>
      <c r="GH156" s="50"/>
      <c r="GI156" s="50"/>
      <c r="GJ156" s="50"/>
      <c r="GK156" s="50"/>
      <c r="GL156" s="50"/>
      <c r="GM156" s="50"/>
      <c r="GN156" s="50"/>
      <c r="GO156" s="50"/>
      <c r="GP156" s="50"/>
      <c r="GQ156" s="50"/>
      <c r="GR156" s="50"/>
      <c r="GS156" s="50"/>
      <c r="GT156" s="50"/>
      <c r="GU156" s="50"/>
      <c r="GV156" s="50"/>
      <c r="GW156" s="50"/>
      <c r="GX156" s="50"/>
      <c r="GY156" s="50"/>
      <c r="GZ156" s="50"/>
      <c r="HA156" s="50"/>
    </row>
    <row r="157" s="51" customFormat="1" spans="1:209">
      <c r="A157" s="50"/>
      <c r="B157" s="50"/>
      <c r="C157" s="50"/>
      <c r="D157" s="50"/>
      <c r="E157" s="50"/>
      <c r="F157" s="50"/>
      <c r="G157" s="50"/>
      <c r="H157" s="60" t="s">
        <v>270</v>
      </c>
      <c r="I157" s="60" t="s">
        <v>405</v>
      </c>
      <c r="J157" s="59">
        <v>7722</v>
      </c>
      <c r="K157" s="59">
        <v>45053</v>
      </c>
      <c r="L157" s="59">
        <v>206228</v>
      </c>
      <c r="M157" s="59">
        <v>1597</v>
      </c>
      <c r="N157" s="59">
        <v>260600</v>
      </c>
      <c r="O157" s="63"/>
      <c r="P157" s="63">
        <f t="shared" si="4"/>
        <v>-260600</v>
      </c>
      <c r="Q157" s="50"/>
      <c r="R157" s="50"/>
      <c r="S157" s="69" t="s">
        <v>270</v>
      </c>
      <c r="T157" s="50"/>
      <c r="U157" s="52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0"/>
      <c r="BT157" s="50"/>
      <c r="BU157" s="50"/>
      <c r="BV157" s="50"/>
      <c r="BW157" s="50"/>
      <c r="BX157" s="50"/>
      <c r="BY157" s="50"/>
      <c r="BZ157" s="50"/>
      <c r="CA157" s="50"/>
      <c r="CB157" s="50"/>
      <c r="CC157" s="50"/>
      <c r="CD157" s="50"/>
      <c r="CE157" s="50"/>
      <c r="CF157" s="50"/>
      <c r="CG157" s="50"/>
      <c r="CH157" s="50"/>
      <c r="CI157" s="50"/>
      <c r="CJ157" s="50"/>
      <c r="CK157" s="50"/>
      <c r="CL157" s="50"/>
      <c r="CM157" s="50"/>
      <c r="CN157" s="50"/>
      <c r="CO157" s="50"/>
      <c r="CP157" s="50"/>
      <c r="CQ157" s="50"/>
      <c r="CR157" s="50"/>
      <c r="CS157" s="50"/>
      <c r="CT157" s="50"/>
      <c r="CU157" s="50"/>
      <c r="CV157" s="50"/>
      <c r="CW157" s="50"/>
      <c r="CX157" s="50"/>
      <c r="CY157" s="50"/>
      <c r="CZ157" s="50"/>
      <c r="DA157" s="50"/>
      <c r="DB157" s="50"/>
      <c r="DC157" s="50"/>
      <c r="DD157" s="50"/>
      <c r="DE157" s="50"/>
      <c r="DF157" s="50"/>
      <c r="DG157" s="50"/>
      <c r="DH157" s="50"/>
      <c r="DI157" s="50"/>
      <c r="DJ157" s="50"/>
      <c r="DK157" s="50"/>
      <c r="DL157" s="50"/>
      <c r="DM157" s="50"/>
      <c r="DN157" s="50"/>
      <c r="DO157" s="50"/>
      <c r="DP157" s="50"/>
      <c r="DQ157" s="50"/>
      <c r="DR157" s="50"/>
      <c r="DS157" s="50"/>
      <c r="DT157" s="50"/>
      <c r="DU157" s="50"/>
      <c r="DV157" s="50"/>
      <c r="DW157" s="50"/>
      <c r="DX157" s="50"/>
      <c r="DY157" s="50"/>
      <c r="DZ157" s="50"/>
      <c r="EA157" s="50"/>
      <c r="EB157" s="50"/>
      <c r="EC157" s="50"/>
      <c r="ED157" s="50"/>
      <c r="EE157" s="50"/>
      <c r="EF157" s="50"/>
      <c r="EG157" s="50"/>
      <c r="EH157" s="50"/>
      <c r="EI157" s="50"/>
      <c r="EJ157" s="50"/>
      <c r="EK157" s="50"/>
      <c r="EL157" s="50"/>
      <c r="EM157" s="50"/>
      <c r="EN157" s="50"/>
      <c r="EO157" s="50"/>
      <c r="EP157" s="50"/>
      <c r="EQ157" s="50"/>
      <c r="ER157" s="50"/>
      <c r="ES157" s="50"/>
      <c r="ET157" s="50"/>
      <c r="EU157" s="50"/>
      <c r="EV157" s="50"/>
      <c r="EW157" s="50"/>
      <c r="EX157" s="50"/>
      <c r="EY157" s="50"/>
      <c r="EZ157" s="50"/>
      <c r="FA157" s="50"/>
      <c r="FB157" s="50"/>
      <c r="FC157" s="50"/>
      <c r="FD157" s="50"/>
      <c r="FE157" s="50"/>
      <c r="FF157" s="50"/>
      <c r="FG157" s="50"/>
      <c r="FH157" s="50"/>
      <c r="FI157" s="50"/>
      <c r="FJ157" s="50"/>
      <c r="FK157" s="50"/>
      <c r="FL157" s="50"/>
      <c r="FM157" s="50"/>
      <c r="FN157" s="50"/>
      <c r="FO157" s="50"/>
      <c r="FP157" s="50"/>
      <c r="FQ157" s="50"/>
      <c r="FR157" s="50"/>
      <c r="FS157" s="50"/>
      <c r="FT157" s="50"/>
      <c r="FU157" s="50"/>
      <c r="FV157" s="50"/>
      <c r="FW157" s="50"/>
      <c r="FX157" s="50"/>
      <c r="FY157" s="50"/>
      <c r="FZ157" s="50"/>
      <c r="GA157" s="50"/>
      <c r="GB157" s="50"/>
      <c r="GC157" s="50"/>
      <c r="GD157" s="50"/>
      <c r="GE157" s="50"/>
      <c r="GF157" s="50"/>
      <c r="GG157" s="50"/>
      <c r="GH157" s="50"/>
      <c r="GI157" s="50"/>
      <c r="GJ157" s="50"/>
      <c r="GK157" s="50"/>
      <c r="GL157" s="50"/>
      <c r="GM157" s="50"/>
      <c r="GN157" s="50"/>
      <c r="GO157" s="50"/>
      <c r="GP157" s="50"/>
      <c r="GQ157" s="50"/>
      <c r="GR157" s="50"/>
      <c r="GS157" s="50"/>
      <c r="GT157" s="50"/>
      <c r="GU157" s="50"/>
      <c r="GV157" s="50"/>
      <c r="GW157" s="50"/>
      <c r="GX157" s="50"/>
      <c r="GY157" s="50"/>
      <c r="GZ157" s="50"/>
      <c r="HA157" s="50"/>
    </row>
    <row r="158" s="51" customFormat="1" spans="1:209">
      <c r="A158" s="50"/>
      <c r="B158" s="50"/>
      <c r="C158" s="50"/>
      <c r="D158" s="50"/>
      <c r="E158" s="50"/>
      <c r="F158" s="50"/>
      <c r="G158" s="50"/>
      <c r="H158" s="60" t="s">
        <v>270</v>
      </c>
      <c r="I158" s="60" t="s">
        <v>406</v>
      </c>
      <c r="J158" s="59">
        <v>22009</v>
      </c>
      <c r="K158" s="59">
        <v>75468</v>
      </c>
      <c r="L158" s="59">
        <v>516086</v>
      </c>
      <c r="M158" s="59">
        <v>6444</v>
      </c>
      <c r="N158" s="59">
        <v>620007</v>
      </c>
      <c r="O158" s="63"/>
      <c r="P158" s="63">
        <f t="shared" si="4"/>
        <v>-620007</v>
      </c>
      <c r="Q158" s="50"/>
      <c r="R158" s="50"/>
      <c r="S158" s="69" t="s">
        <v>270</v>
      </c>
      <c r="T158" s="50"/>
      <c r="U158" s="52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0"/>
      <c r="BR158" s="50"/>
      <c r="BS158" s="50"/>
      <c r="BT158" s="50"/>
      <c r="BU158" s="50"/>
      <c r="BV158" s="50"/>
      <c r="BW158" s="50"/>
      <c r="BX158" s="50"/>
      <c r="BY158" s="50"/>
      <c r="BZ158" s="50"/>
      <c r="CA158" s="50"/>
      <c r="CB158" s="50"/>
      <c r="CC158" s="50"/>
      <c r="CD158" s="50"/>
      <c r="CE158" s="50"/>
      <c r="CF158" s="50"/>
      <c r="CG158" s="50"/>
      <c r="CH158" s="50"/>
      <c r="CI158" s="50"/>
      <c r="CJ158" s="50"/>
      <c r="CK158" s="50"/>
      <c r="CL158" s="50"/>
      <c r="CM158" s="50"/>
      <c r="CN158" s="50"/>
      <c r="CO158" s="50"/>
      <c r="CP158" s="50"/>
      <c r="CQ158" s="50"/>
      <c r="CR158" s="50"/>
      <c r="CS158" s="50"/>
      <c r="CT158" s="50"/>
      <c r="CU158" s="50"/>
      <c r="CV158" s="50"/>
      <c r="CW158" s="50"/>
      <c r="CX158" s="50"/>
      <c r="CY158" s="50"/>
      <c r="CZ158" s="50"/>
      <c r="DA158" s="50"/>
      <c r="DB158" s="50"/>
      <c r="DC158" s="50"/>
      <c r="DD158" s="50"/>
      <c r="DE158" s="50"/>
      <c r="DF158" s="50"/>
      <c r="DG158" s="50"/>
      <c r="DH158" s="50"/>
      <c r="DI158" s="50"/>
      <c r="DJ158" s="50"/>
      <c r="DK158" s="50"/>
      <c r="DL158" s="50"/>
      <c r="DM158" s="50"/>
      <c r="DN158" s="50"/>
      <c r="DO158" s="50"/>
      <c r="DP158" s="50"/>
      <c r="DQ158" s="50"/>
      <c r="DR158" s="50"/>
      <c r="DS158" s="50"/>
      <c r="DT158" s="50"/>
      <c r="DU158" s="50"/>
      <c r="DV158" s="50"/>
      <c r="DW158" s="50"/>
      <c r="DX158" s="50"/>
      <c r="DY158" s="50"/>
      <c r="DZ158" s="50"/>
      <c r="EA158" s="50"/>
      <c r="EB158" s="50"/>
      <c r="EC158" s="50"/>
      <c r="ED158" s="50"/>
      <c r="EE158" s="50"/>
      <c r="EF158" s="50"/>
      <c r="EG158" s="50"/>
      <c r="EH158" s="50"/>
      <c r="EI158" s="50"/>
      <c r="EJ158" s="50"/>
      <c r="EK158" s="50"/>
      <c r="EL158" s="50"/>
      <c r="EM158" s="50"/>
      <c r="EN158" s="50"/>
      <c r="EO158" s="50"/>
      <c r="EP158" s="50"/>
      <c r="EQ158" s="50"/>
      <c r="ER158" s="50"/>
      <c r="ES158" s="50"/>
      <c r="ET158" s="50"/>
      <c r="EU158" s="50"/>
      <c r="EV158" s="50"/>
      <c r="EW158" s="50"/>
      <c r="EX158" s="50"/>
      <c r="EY158" s="50"/>
      <c r="EZ158" s="50"/>
      <c r="FA158" s="50"/>
      <c r="FB158" s="50"/>
      <c r="FC158" s="50"/>
      <c r="FD158" s="50"/>
      <c r="FE158" s="50"/>
      <c r="FF158" s="50"/>
      <c r="FG158" s="50"/>
      <c r="FH158" s="50"/>
      <c r="FI158" s="50"/>
      <c r="FJ158" s="50"/>
      <c r="FK158" s="50"/>
      <c r="FL158" s="50"/>
      <c r="FM158" s="50"/>
      <c r="FN158" s="50"/>
      <c r="FO158" s="50"/>
      <c r="FP158" s="50"/>
      <c r="FQ158" s="50"/>
      <c r="FR158" s="50"/>
      <c r="FS158" s="50"/>
      <c r="FT158" s="50"/>
      <c r="FU158" s="50"/>
      <c r="FV158" s="50"/>
      <c r="FW158" s="50"/>
      <c r="FX158" s="50"/>
      <c r="FY158" s="50"/>
      <c r="FZ158" s="50"/>
      <c r="GA158" s="50"/>
      <c r="GB158" s="50"/>
      <c r="GC158" s="50"/>
      <c r="GD158" s="50"/>
      <c r="GE158" s="50"/>
      <c r="GF158" s="50"/>
      <c r="GG158" s="50"/>
      <c r="GH158" s="50"/>
      <c r="GI158" s="50"/>
      <c r="GJ158" s="50"/>
      <c r="GK158" s="50"/>
      <c r="GL158" s="50"/>
      <c r="GM158" s="50"/>
      <c r="GN158" s="50"/>
      <c r="GO158" s="50"/>
      <c r="GP158" s="50"/>
      <c r="GQ158" s="50"/>
      <c r="GR158" s="50"/>
      <c r="GS158" s="50"/>
      <c r="GT158" s="50"/>
      <c r="GU158" s="50"/>
      <c r="GV158" s="50"/>
      <c r="GW158" s="50"/>
      <c r="GX158" s="50"/>
      <c r="GY158" s="50"/>
      <c r="GZ158" s="50"/>
      <c r="HA158" s="50"/>
    </row>
    <row r="159" s="51" customFormat="1" spans="1:209">
      <c r="A159" s="50"/>
      <c r="B159" s="50"/>
      <c r="C159" s="50"/>
      <c r="D159" s="50"/>
      <c r="E159" s="50"/>
      <c r="F159" s="50"/>
      <c r="G159" s="50"/>
      <c r="H159" s="60" t="s">
        <v>270</v>
      </c>
      <c r="I159" s="60" t="s">
        <v>407</v>
      </c>
      <c r="J159" s="59">
        <v>4143</v>
      </c>
      <c r="K159" s="59">
        <v>31108</v>
      </c>
      <c r="L159" s="59">
        <v>181464</v>
      </c>
      <c r="M159" s="59">
        <v>2448</v>
      </c>
      <c r="N159" s="59">
        <v>219163</v>
      </c>
      <c r="O159" s="63"/>
      <c r="P159" s="63">
        <f t="shared" si="4"/>
        <v>-219163</v>
      </c>
      <c r="Q159" s="50"/>
      <c r="R159" s="50"/>
      <c r="S159" s="69" t="s">
        <v>270</v>
      </c>
      <c r="T159" s="50"/>
      <c r="U159" s="52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0"/>
      <c r="BR159" s="50"/>
      <c r="BS159" s="50"/>
      <c r="BT159" s="50"/>
      <c r="BU159" s="50"/>
      <c r="BV159" s="50"/>
      <c r="BW159" s="50"/>
      <c r="BX159" s="50"/>
      <c r="BY159" s="50"/>
      <c r="BZ159" s="50"/>
      <c r="CA159" s="50"/>
      <c r="CB159" s="50"/>
      <c r="CC159" s="50"/>
      <c r="CD159" s="50"/>
      <c r="CE159" s="50"/>
      <c r="CF159" s="50"/>
      <c r="CG159" s="50"/>
      <c r="CH159" s="50"/>
      <c r="CI159" s="50"/>
      <c r="CJ159" s="50"/>
      <c r="CK159" s="50"/>
      <c r="CL159" s="50"/>
      <c r="CM159" s="50"/>
      <c r="CN159" s="50"/>
      <c r="CO159" s="50"/>
      <c r="CP159" s="50"/>
      <c r="CQ159" s="50"/>
      <c r="CR159" s="50"/>
      <c r="CS159" s="50"/>
      <c r="CT159" s="50"/>
      <c r="CU159" s="50"/>
      <c r="CV159" s="50"/>
      <c r="CW159" s="50"/>
      <c r="CX159" s="50"/>
      <c r="CY159" s="50"/>
      <c r="CZ159" s="50"/>
      <c r="DA159" s="50"/>
      <c r="DB159" s="50"/>
      <c r="DC159" s="50"/>
      <c r="DD159" s="50"/>
      <c r="DE159" s="50"/>
      <c r="DF159" s="50"/>
      <c r="DG159" s="50"/>
      <c r="DH159" s="50"/>
      <c r="DI159" s="50"/>
      <c r="DJ159" s="50"/>
      <c r="DK159" s="50"/>
      <c r="DL159" s="50"/>
      <c r="DM159" s="50"/>
      <c r="DN159" s="50"/>
      <c r="DO159" s="50"/>
      <c r="DP159" s="50"/>
      <c r="DQ159" s="50"/>
      <c r="DR159" s="50"/>
      <c r="DS159" s="50"/>
      <c r="DT159" s="50"/>
      <c r="DU159" s="50"/>
      <c r="DV159" s="50"/>
      <c r="DW159" s="50"/>
      <c r="DX159" s="50"/>
      <c r="DY159" s="50"/>
      <c r="DZ159" s="50"/>
      <c r="EA159" s="50"/>
      <c r="EB159" s="50"/>
      <c r="EC159" s="50"/>
      <c r="ED159" s="50"/>
      <c r="EE159" s="50"/>
      <c r="EF159" s="50"/>
      <c r="EG159" s="50"/>
      <c r="EH159" s="50"/>
      <c r="EI159" s="50"/>
      <c r="EJ159" s="50"/>
      <c r="EK159" s="50"/>
      <c r="EL159" s="50"/>
      <c r="EM159" s="50"/>
      <c r="EN159" s="50"/>
      <c r="EO159" s="50"/>
      <c r="EP159" s="50"/>
      <c r="EQ159" s="50"/>
      <c r="ER159" s="50"/>
      <c r="ES159" s="50"/>
      <c r="ET159" s="50"/>
      <c r="EU159" s="50"/>
      <c r="EV159" s="50"/>
      <c r="EW159" s="50"/>
      <c r="EX159" s="50"/>
      <c r="EY159" s="50"/>
      <c r="EZ159" s="50"/>
      <c r="FA159" s="50"/>
      <c r="FB159" s="50"/>
      <c r="FC159" s="50"/>
      <c r="FD159" s="50"/>
      <c r="FE159" s="50"/>
      <c r="FF159" s="50"/>
      <c r="FG159" s="50"/>
      <c r="FH159" s="50"/>
      <c r="FI159" s="50"/>
      <c r="FJ159" s="50"/>
      <c r="FK159" s="50"/>
      <c r="FL159" s="50"/>
      <c r="FM159" s="50"/>
      <c r="FN159" s="50"/>
      <c r="FO159" s="50"/>
      <c r="FP159" s="50"/>
      <c r="FQ159" s="50"/>
      <c r="FR159" s="50"/>
      <c r="FS159" s="50"/>
      <c r="FT159" s="50"/>
      <c r="FU159" s="50"/>
      <c r="FV159" s="50"/>
      <c r="FW159" s="50"/>
      <c r="FX159" s="50"/>
      <c r="FY159" s="50"/>
      <c r="FZ159" s="50"/>
      <c r="GA159" s="50"/>
      <c r="GB159" s="50"/>
      <c r="GC159" s="50"/>
      <c r="GD159" s="50"/>
      <c r="GE159" s="50"/>
      <c r="GF159" s="50"/>
      <c r="GG159" s="50"/>
      <c r="GH159" s="50"/>
      <c r="GI159" s="50"/>
      <c r="GJ159" s="50"/>
      <c r="GK159" s="50"/>
      <c r="GL159" s="50"/>
      <c r="GM159" s="50"/>
      <c r="GN159" s="50"/>
      <c r="GO159" s="50"/>
      <c r="GP159" s="50"/>
      <c r="GQ159" s="50"/>
      <c r="GR159" s="50"/>
      <c r="GS159" s="50"/>
      <c r="GT159" s="50"/>
      <c r="GU159" s="50"/>
      <c r="GV159" s="50"/>
      <c r="GW159" s="50"/>
      <c r="GX159" s="50"/>
      <c r="GY159" s="50"/>
      <c r="GZ159" s="50"/>
      <c r="HA159" s="50"/>
    </row>
    <row r="160" s="51" customFormat="1" spans="1:209">
      <c r="A160" s="50"/>
      <c r="B160" s="50"/>
      <c r="C160" s="50"/>
      <c r="D160" s="50"/>
      <c r="E160" s="50"/>
      <c r="F160" s="50"/>
      <c r="G160" s="50"/>
      <c r="H160" s="60" t="s">
        <v>270</v>
      </c>
      <c r="I160" s="60" t="s">
        <v>408</v>
      </c>
      <c r="J160" s="59">
        <v>30957</v>
      </c>
      <c r="K160" s="59">
        <v>204366</v>
      </c>
      <c r="L160" s="59">
        <v>700807</v>
      </c>
      <c r="M160" s="59">
        <v>3439</v>
      </c>
      <c r="N160" s="59">
        <v>939569</v>
      </c>
      <c r="O160" s="63"/>
      <c r="P160" s="63">
        <f t="shared" si="4"/>
        <v>-939569</v>
      </c>
      <c r="Q160" s="50"/>
      <c r="R160" s="50"/>
      <c r="S160" s="69" t="s">
        <v>270</v>
      </c>
      <c r="T160" s="50"/>
      <c r="U160" s="52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  <c r="BH160" s="50"/>
      <c r="BI160" s="50"/>
      <c r="BJ160" s="50"/>
      <c r="BK160" s="50"/>
      <c r="BL160" s="50"/>
      <c r="BM160" s="50"/>
      <c r="BN160" s="50"/>
      <c r="BO160" s="50"/>
      <c r="BP160" s="50"/>
      <c r="BQ160" s="50"/>
      <c r="BR160" s="50"/>
      <c r="BS160" s="50"/>
      <c r="BT160" s="50"/>
      <c r="BU160" s="50"/>
      <c r="BV160" s="50"/>
      <c r="BW160" s="50"/>
      <c r="BX160" s="50"/>
      <c r="BY160" s="50"/>
      <c r="BZ160" s="50"/>
      <c r="CA160" s="50"/>
      <c r="CB160" s="50"/>
      <c r="CC160" s="50"/>
      <c r="CD160" s="50"/>
      <c r="CE160" s="50"/>
      <c r="CF160" s="50"/>
      <c r="CG160" s="50"/>
      <c r="CH160" s="50"/>
      <c r="CI160" s="50"/>
      <c r="CJ160" s="50"/>
      <c r="CK160" s="50"/>
      <c r="CL160" s="50"/>
      <c r="CM160" s="50"/>
      <c r="CN160" s="50"/>
      <c r="CO160" s="50"/>
      <c r="CP160" s="50"/>
      <c r="CQ160" s="50"/>
      <c r="CR160" s="50"/>
      <c r="CS160" s="50"/>
      <c r="CT160" s="50"/>
      <c r="CU160" s="50"/>
      <c r="CV160" s="50"/>
      <c r="CW160" s="50"/>
      <c r="CX160" s="50"/>
      <c r="CY160" s="50"/>
      <c r="CZ160" s="50"/>
      <c r="DA160" s="50"/>
      <c r="DB160" s="50"/>
      <c r="DC160" s="50"/>
      <c r="DD160" s="50"/>
      <c r="DE160" s="50"/>
      <c r="DF160" s="50"/>
      <c r="DG160" s="50"/>
      <c r="DH160" s="50"/>
      <c r="DI160" s="50"/>
      <c r="DJ160" s="50"/>
      <c r="DK160" s="50"/>
      <c r="DL160" s="50"/>
      <c r="DM160" s="50"/>
      <c r="DN160" s="50"/>
      <c r="DO160" s="50"/>
      <c r="DP160" s="50"/>
      <c r="DQ160" s="50"/>
      <c r="DR160" s="50"/>
      <c r="DS160" s="50"/>
      <c r="DT160" s="50"/>
      <c r="DU160" s="50"/>
      <c r="DV160" s="50"/>
      <c r="DW160" s="50"/>
      <c r="DX160" s="50"/>
      <c r="DY160" s="50"/>
      <c r="DZ160" s="50"/>
      <c r="EA160" s="50"/>
      <c r="EB160" s="50"/>
      <c r="EC160" s="50"/>
      <c r="ED160" s="50"/>
      <c r="EE160" s="50"/>
      <c r="EF160" s="50"/>
      <c r="EG160" s="50"/>
      <c r="EH160" s="50"/>
      <c r="EI160" s="50"/>
      <c r="EJ160" s="50"/>
      <c r="EK160" s="50"/>
      <c r="EL160" s="50"/>
      <c r="EM160" s="50"/>
      <c r="EN160" s="50"/>
      <c r="EO160" s="50"/>
      <c r="EP160" s="50"/>
      <c r="EQ160" s="50"/>
      <c r="ER160" s="50"/>
      <c r="ES160" s="50"/>
      <c r="ET160" s="50"/>
      <c r="EU160" s="50"/>
      <c r="EV160" s="50"/>
      <c r="EW160" s="50"/>
      <c r="EX160" s="50"/>
      <c r="EY160" s="50"/>
      <c r="EZ160" s="50"/>
      <c r="FA160" s="50"/>
      <c r="FB160" s="50"/>
      <c r="FC160" s="50"/>
      <c r="FD160" s="50"/>
      <c r="FE160" s="50"/>
      <c r="FF160" s="50"/>
      <c r="FG160" s="50"/>
      <c r="FH160" s="50"/>
      <c r="FI160" s="50"/>
      <c r="FJ160" s="50"/>
      <c r="FK160" s="50"/>
      <c r="FL160" s="50"/>
      <c r="FM160" s="50"/>
      <c r="FN160" s="50"/>
      <c r="FO160" s="50"/>
      <c r="FP160" s="50"/>
      <c r="FQ160" s="50"/>
      <c r="FR160" s="50"/>
      <c r="FS160" s="50"/>
      <c r="FT160" s="50"/>
      <c r="FU160" s="50"/>
      <c r="FV160" s="50"/>
      <c r="FW160" s="50"/>
      <c r="FX160" s="50"/>
      <c r="FY160" s="50"/>
      <c r="FZ160" s="50"/>
      <c r="GA160" s="50"/>
      <c r="GB160" s="50"/>
      <c r="GC160" s="50"/>
      <c r="GD160" s="50"/>
      <c r="GE160" s="50"/>
      <c r="GF160" s="50"/>
      <c r="GG160" s="50"/>
      <c r="GH160" s="50"/>
      <c r="GI160" s="50"/>
      <c r="GJ160" s="50"/>
      <c r="GK160" s="50"/>
      <c r="GL160" s="50"/>
      <c r="GM160" s="50"/>
      <c r="GN160" s="50"/>
      <c r="GO160" s="50"/>
      <c r="GP160" s="50"/>
      <c r="GQ160" s="50"/>
      <c r="GR160" s="50"/>
      <c r="GS160" s="50"/>
      <c r="GT160" s="50"/>
      <c r="GU160" s="50"/>
      <c r="GV160" s="50"/>
      <c r="GW160" s="50"/>
      <c r="GX160" s="50"/>
      <c r="GY160" s="50"/>
      <c r="GZ160" s="50"/>
      <c r="HA160" s="50"/>
    </row>
    <row r="161" s="51" customFormat="1" spans="1:209">
      <c r="A161" s="50"/>
      <c r="B161" s="50"/>
      <c r="C161" s="50"/>
      <c r="D161" s="50"/>
      <c r="E161" s="50"/>
      <c r="F161" s="50"/>
      <c r="G161" s="50"/>
      <c r="H161" s="60" t="s">
        <v>270</v>
      </c>
      <c r="I161" s="60" t="s">
        <v>409</v>
      </c>
      <c r="J161" s="59">
        <v>14713</v>
      </c>
      <c r="K161" s="59">
        <v>70136</v>
      </c>
      <c r="L161" s="59">
        <v>298420</v>
      </c>
      <c r="M161" s="59">
        <v>9347</v>
      </c>
      <c r="N161" s="59">
        <v>392616</v>
      </c>
      <c r="O161" s="63"/>
      <c r="P161" s="63">
        <f t="shared" si="4"/>
        <v>-392616</v>
      </c>
      <c r="Q161" s="50"/>
      <c r="R161" s="50"/>
      <c r="S161" s="69" t="s">
        <v>270</v>
      </c>
      <c r="T161" s="50"/>
      <c r="U161" s="52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  <c r="BN161" s="50"/>
      <c r="BO161" s="50"/>
      <c r="BP161" s="50"/>
      <c r="BQ161" s="50"/>
      <c r="BR161" s="50"/>
      <c r="BS161" s="50"/>
      <c r="BT161" s="50"/>
      <c r="BU161" s="50"/>
      <c r="BV161" s="50"/>
      <c r="BW161" s="50"/>
      <c r="BX161" s="50"/>
      <c r="BY161" s="50"/>
      <c r="BZ161" s="50"/>
      <c r="CA161" s="50"/>
      <c r="CB161" s="50"/>
      <c r="CC161" s="50"/>
      <c r="CD161" s="50"/>
      <c r="CE161" s="50"/>
      <c r="CF161" s="50"/>
      <c r="CG161" s="50"/>
      <c r="CH161" s="50"/>
      <c r="CI161" s="50"/>
      <c r="CJ161" s="50"/>
      <c r="CK161" s="50"/>
      <c r="CL161" s="50"/>
      <c r="CM161" s="50"/>
      <c r="CN161" s="50"/>
      <c r="CO161" s="50"/>
      <c r="CP161" s="50"/>
      <c r="CQ161" s="50"/>
      <c r="CR161" s="50"/>
      <c r="CS161" s="50"/>
      <c r="CT161" s="50"/>
      <c r="CU161" s="50"/>
      <c r="CV161" s="50"/>
      <c r="CW161" s="50"/>
      <c r="CX161" s="50"/>
      <c r="CY161" s="50"/>
      <c r="CZ161" s="50"/>
      <c r="DA161" s="50"/>
      <c r="DB161" s="50"/>
      <c r="DC161" s="50"/>
      <c r="DD161" s="50"/>
      <c r="DE161" s="50"/>
      <c r="DF161" s="50"/>
      <c r="DG161" s="50"/>
      <c r="DH161" s="50"/>
      <c r="DI161" s="50"/>
      <c r="DJ161" s="50"/>
      <c r="DK161" s="50"/>
      <c r="DL161" s="50"/>
      <c r="DM161" s="50"/>
      <c r="DN161" s="50"/>
      <c r="DO161" s="50"/>
      <c r="DP161" s="50"/>
      <c r="DQ161" s="50"/>
      <c r="DR161" s="50"/>
      <c r="DS161" s="50"/>
      <c r="DT161" s="50"/>
      <c r="DU161" s="50"/>
      <c r="DV161" s="50"/>
      <c r="DW161" s="50"/>
      <c r="DX161" s="50"/>
      <c r="DY161" s="50"/>
      <c r="DZ161" s="50"/>
      <c r="EA161" s="50"/>
      <c r="EB161" s="50"/>
      <c r="EC161" s="50"/>
      <c r="ED161" s="50"/>
      <c r="EE161" s="50"/>
      <c r="EF161" s="50"/>
      <c r="EG161" s="50"/>
      <c r="EH161" s="50"/>
      <c r="EI161" s="50"/>
      <c r="EJ161" s="50"/>
      <c r="EK161" s="50"/>
      <c r="EL161" s="50"/>
      <c r="EM161" s="50"/>
      <c r="EN161" s="50"/>
      <c r="EO161" s="50"/>
      <c r="EP161" s="50"/>
      <c r="EQ161" s="50"/>
      <c r="ER161" s="50"/>
      <c r="ES161" s="50"/>
      <c r="ET161" s="50"/>
      <c r="EU161" s="50"/>
      <c r="EV161" s="50"/>
      <c r="EW161" s="50"/>
      <c r="EX161" s="50"/>
      <c r="EY161" s="50"/>
      <c r="EZ161" s="50"/>
      <c r="FA161" s="50"/>
      <c r="FB161" s="50"/>
      <c r="FC161" s="50"/>
      <c r="FD161" s="50"/>
      <c r="FE161" s="50"/>
      <c r="FF161" s="50"/>
      <c r="FG161" s="50"/>
      <c r="FH161" s="50"/>
      <c r="FI161" s="50"/>
      <c r="FJ161" s="50"/>
      <c r="FK161" s="50"/>
      <c r="FL161" s="50"/>
      <c r="FM161" s="50"/>
      <c r="FN161" s="50"/>
      <c r="FO161" s="50"/>
      <c r="FP161" s="50"/>
      <c r="FQ161" s="50"/>
      <c r="FR161" s="50"/>
      <c r="FS161" s="50"/>
      <c r="FT161" s="50"/>
      <c r="FU161" s="50"/>
      <c r="FV161" s="50"/>
      <c r="FW161" s="50"/>
      <c r="FX161" s="50"/>
      <c r="FY161" s="50"/>
      <c r="FZ161" s="50"/>
      <c r="GA161" s="50"/>
      <c r="GB161" s="50"/>
      <c r="GC161" s="50"/>
      <c r="GD161" s="50"/>
      <c r="GE161" s="50"/>
      <c r="GF161" s="50"/>
      <c r="GG161" s="50"/>
      <c r="GH161" s="50"/>
      <c r="GI161" s="50"/>
      <c r="GJ161" s="50"/>
      <c r="GK161" s="50"/>
      <c r="GL161" s="50"/>
      <c r="GM161" s="50"/>
      <c r="GN161" s="50"/>
      <c r="GO161" s="50"/>
      <c r="GP161" s="50"/>
      <c r="GQ161" s="50"/>
      <c r="GR161" s="50"/>
      <c r="GS161" s="50"/>
      <c r="GT161" s="50"/>
      <c r="GU161" s="50"/>
      <c r="GV161" s="50"/>
      <c r="GW161" s="50"/>
      <c r="GX161" s="50"/>
      <c r="GY161" s="50"/>
      <c r="GZ161" s="50"/>
      <c r="HA161" s="50"/>
    </row>
    <row r="162" s="51" customFormat="1" spans="1:209">
      <c r="A162" s="50"/>
      <c r="B162" s="50"/>
      <c r="C162" s="50"/>
      <c r="D162" s="50"/>
      <c r="E162" s="50"/>
      <c r="F162" s="50"/>
      <c r="G162" s="50"/>
      <c r="H162" s="60" t="s">
        <v>270</v>
      </c>
      <c r="I162" s="60" t="s">
        <v>410</v>
      </c>
      <c r="J162" s="59">
        <v>11079</v>
      </c>
      <c r="K162" s="59">
        <v>48688</v>
      </c>
      <c r="L162" s="59">
        <v>241819</v>
      </c>
      <c r="M162" s="59">
        <v>2606</v>
      </c>
      <c r="N162" s="59">
        <v>304192</v>
      </c>
      <c r="O162" s="63"/>
      <c r="P162" s="63">
        <f t="shared" si="4"/>
        <v>-304192</v>
      </c>
      <c r="Q162" s="50"/>
      <c r="R162" s="50"/>
      <c r="S162" s="69" t="s">
        <v>270</v>
      </c>
      <c r="T162" s="50"/>
      <c r="U162" s="52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  <c r="BN162" s="50"/>
      <c r="BO162" s="50"/>
      <c r="BP162" s="50"/>
      <c r="BQ162" s="50"/>
      <c r="BR162" s="50"/>
      <c r="BS162" s="50"/>
      <c r="BT162" s="50"/>
      <c r="BU162" s="50"/>
      <c r="BV162" s="50"/>
      <c r="BW162" s="50"/>
      <c r="BX162" s="50"/>
      <c r="BY162" s="50"/>
      <c r="BZ162" s="50"/>
      <c r="CA162" s="50"/>
      <c r="CB162" s="50"/>
      <c r="CC162" s="50"/>
      <c r="CD162" s="50"/>
      <c r="CE162" s="50"/>
      <c r="CF162" s="50"/>
      <c r="CG162" s="50"/>
      <c r="CH162" s="50"/>
      <c r="CI162" s="50"/>
      <c r="CJ162" s="50"/>
      <c r="CK162" s="50"/>
      <c r="CL162" s="50"/>
      <c r="CM162" s="50"/>
      <c r="CN162" s="50"/>
      <c r="CO162" s="50"/>
      <c r="CP162" s="50"/>
      <c r="CQ162" s="50"/>
      <c r="CR162" s="50"/>
      <c r="CS162" s="50"/>
      <c r="CT162" s="50"/>
      <c r="CU162" s="50"/>
      <c r="CV162" s="50"/>
      <c r="CW162" s="50"/>
      <c r="CX162" s="50"/>
      <c r="CY162" s="50"/>
      <c r="CZ162" s="50"/>
      <c r="DA162" s="50"/>
      <c r="DB162" s="50"/>
      <c r="DC162" s="50"/>
      <c r="DD162" s="50"/>
      <c r="DE162" s="50"/>
      <c r="DF162" s="50"/>
      <c r="DG162" s="50"/>
      <c r="DH162" s="50"/>
      <c r="DI162" s="50"/>
      <c r="DJ162" s="50"/>
      <c r="DK162" s="50"/>
      <c r="DL162" s="50"/>
      <c r="DM162" s="50"/>
      <c r="DN162" s="50"/>
      <c r="DO162" s="50"/>
      <c r="DP162" s="50"/>
      <c r="DQ162" s="50"/>
      <c r="DR162" s="50"/>
      <c r="DS162" s="50"/>
      <c r="DT162" s="50"/>
      <c r="DU162" s="50"/>
      <c r="DV162" s="50"/>
      <c r="DW162" s="50"/>
      <c r="DX162" s="50"/>
      <c r="DY162" s="50"/>
      <c r="DZ162" s="50"/>
      <c r="EA162" s="50"/>
      <c r="EB162" s="50"/>
      <c r="EC162" s="50"/>
      <c r="ED162" s="50"/>
      <c r="EE162" s="50"/>
      <c r="EF162" s="50"/>
      <c r="EG162" s="50"/>
      <c r="EH162" s="50"/>
      <c r="EI162" s="50"/>
      <c r="EJ162" s="50"/>
      <c r="EK162" s="50"/>
      <c r="EL162" s="50"/>
      <c r="EM162" s="50"/>
      <c r="EN162" s="50"/>
      <c r="EO162" s="50"/>
      <c r="EP162" s="50"/>
      <c r="EQ162" s="50"/>
      <c r="ER162" s="50"/>
      <c r="ES162" s="50"/>
      <c r="ET162" s="50"/>
      <c r="EU162" s="50"/>
      <c r="EV162" s="50"/>
      <c r="EW162" s="50"/>
      <c r="EX162" s="50"/>
      <c r="EY162" s="50"/>
      <c r="EZ162" s="50"/>
      <c r="FA162" s="50"/>
      <c r="FB162" s="50"/>
      <c r="FC162" s="50"/>
      <c r="FD162" s="50"/>
      <c r="FE162" s="50"/>
      <c r="FF162" s="50"/>
      <c r="FG162" s="50"/>
      <c r="FH162" s="50"/>
      <c r="FI162" s="50"/>
      <c r="FJ162" s="50"/>
      <c r="FK162" s="50"/>
      <c r="FL162" s="50"/>
      <c r="FM162" s="50"/>
      <c r="FN162" s="50"/>
      <c r="FO162" s="50"/>
      <c r="FP162" s="50"/>
      <c r="FQ162" s="50"/>
      <c r="FR162" s="50"/>
      <c r="FS162" s="50"/>
      <c r="FT162" s="50"/>
      <c r="FU162" s="50"/>
      <c r="FV162" s="50"/>
      <c r="FW162" s="50"/>
      <c r="FX162" s="50"/>
      <c r="FY162" s="50"/>
      <c r="FZ162" s="50"/>
      <c r="GA162" s="50"/>
      <c r="GB162" s="50"/>
      <c r="GC162" s="50"/>
      <c r="GD162" s="50"/>
      <c r="GE162" s="50"/>
      <c r="GF162" s="50"/>
      <c r="GG162" s="50"/>
      <c r="GH162" s="50"/>
      <c r="GI162" s="50"/>
      <c r="GJ162" s="50"/>
      <c r="GK162" s="50"/>
      <c r="GL162" s="50"/>
      <c r="GM162" s="50"/>
      <c r="GN162" s="50"/>
      <c r="GO162" s="50"/>
      <c r="GP162" s="50"/>
      <c r="GQ162" s="50"/>
      <c r="GR162" s="50"/>
      <c r="GS162" s="50"/>
      <c r="GT162" s="50"/>
      <c r="GU162" s="50"/>
      <c r="GV162" s="50"/>
      <c r="GW162" s="50"/>
      <c r="GX162" s="50"/>
      <c r="GY162" s="50"/>
      <c r="GZ162" s="50"/>
      <c r="HA162" s="50"/>
    </row>
    <row r="163" s="51" customFormat="1" spans="1:209">
      <c r="A163" s="50"/>
      <c r="B163" s="50"/>
      <c r="C163" s="50"/>
      <c r="D163" s="50"/>
      <c r="E163" s="50"/>
      <c r="F163" s="50"/>
      <c r="G163" s="50"/>
      <c r="H163" s="60" t="s">
        <v>270</v>
      </c>
      <c r="I163" s="60" t="s">
        <v>411</v>
      </c>
      <c r="J163" s="59">
        <v>6403</v>
      </c>
      <c r="K163" s="59">
        <v>31854</v>
      </c>
      <c r="L163" s="59">
        <v>151041</v>
      </c>
      <c r="M163" s="59">
        <v>2971</v>
      </c>
      <c r="N163" s="59">
        <v>192269</v>
      </c>
      <c r="O163" s="63"/>
      <c r="P163" s="63">
        <f t="shared" si="4"/>
        <v>-192269</v>
      </c>
      <c r="Q163" s="50"/>
      <c r="R163" s="50"/>
      <c r="S163" s="69" t="s">
        <v>270</v>
      </c>
      <c r="T163" s="50"/>
      <c r="U163" s="52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  <c r="BN163" s="50"/>
      <c r="BO163" s="50"/>
      <c r="BP163" s="50"/>
      <c r="BQ163" s="50"/>
      <c r="BR163" s="50"/>
      <c r="BS163" s="50"/>
      <c r="BT163" s="50"/>
      <c r="BU163" s="50"/>
      <c r="BV163" s="50"/>
      <c r="BW163" s="50"/>
      <c r="BX163" s="50"/>
      <c r="BY163" s="50"/>
      <c r="BZ163" s="50"/>
      <c r="CA163" s="50"/>
      <c r="CB163" s="50"/>
      <c r="CC163" s="50"/>
      <c r="CD163" s="50"/>
      <c r="CE163" s="50"/>
      <c r="CF163" s="50"/>
      <c r="CG163" s="50"/>
      <c r="CH163" s="50"/>
      <c r="CI163" s="50"/>
      <c r="CJ163" s="50"/>
      <c r="CK163" s="50"/>
      <c r="CL163" s="50"/>
      <c r="CM163" s="50"/>
      <c r="CN163" s="50"/>
      <c r="CO163" s="50"/>
      <c r="CP163" s="50"/>
      <c r="CQ163" s="50"/>
      <c r="CR163" s="50"/>
      <c r="CS163" s="50"/>
      <c r="CT163" s="50"/>
      <c r="CU163" s="50"/>
      <c r="CV163" s="50"/>
      <c r="CW163" s="50"/>
      <c r="CX163" s="50"/>
      <c r="CY163" s="50"/>
      <c r="CZ163" s="50"/>
      <c r="DA163" s="50"/>
      <c r="DB163" s="50"/>
      <c r="DC163" s="50"/>
      <c r="DD163" s="50"/>
      <c r="DE163" s="50"/>
      <c r="DF163" s="50"/>
      <c r="DG163" s="50"/>
      <c r="DH163" s="50"/>
      <c r="DI163" s="50"/>
      <c r="DJ163" s="50"/>
      <c r="DK163" s="50"/>
      <c r="DL163" s="50"/>
      <c r="DM163" s="50"/>
      <c r="DN163" s="50"/>
      <c r="DO163" s="50"/>
      <c r="DP163" s="50"/>
      <c r="DQ163" s="50"/>
      <c r="DR163" s="50"/>
      <c r="DS163" s="50"/>
      <c r="DT163" s="50"/>
      <c r="DU163" s="50"/>
      <c r="DV163" s="50"/>
      <c r="DW163" s="50"/>
      <c r="DX163" s="50"/>
      <c r="DY163" s="50"/>
      <c r="DZ163" s="50"/>
      <c r="EA163" s="50"/>
      <c r="EB163" s="50"/>
      <c r="EC163" s="50"/>
      <c r="ED163" s="50"/>
      <c r="EE163" s="50"/>
      <c r="EF163" s="50"/>
      <c r="EG163" s="50"/>
      <c r="EH163" s="50"/>
      <c r="EI163" s="50"/>
      <c r="EJ163" s="50"/>
      <c r="EK163" s="50"/>
      <c r="EL163" s="50"/>
      <c r="EM163" s="50"/>
      <c r="EN163" s="50"/>
      <c r="EO163" s="50"/>
      <c r="EP163" s="50"/>
      <c r="EQ163" s="50"/>
      <c r="ER163" s="50"/>
      <c r="ES163" s="50"/>
      <c r="ET163" s="50"/>
      <c r="EU163" s="50"/>
      <c r="EV163" s="50"/>
      <c r="EW163" s="50"/>
      <c r="EX163" s="50"/>
      <c r="EY163" s="50"/>
      <c r="EZ163" s="50"/>
      <c r="FA163" s="50"/>
      <c r="FB163" s="50"/>
      <c r="FC163" s="50"/>
      <c r="FD163" s="50"/>
      <c r="FE163" s="50"/>
      <c r="FF163" s="50"/>
      <c r="FG163" s="50"/>
      <c r="FH163" s="50"/>
      <c r="FI163" s="50"/>
      <c r="FJ163" s="50"/>
      <c r="FK163" s="50"/>
      <c r="FL163" s="50"/>
      <c r="FM163" s="50"/>
      <c r="FN163" s="50"/>
      <c r="FO163" s="50"/>
      <c r="FP163" s="50"/>
      <c r="FQ163" s="50"/>
      <c r="FR163" s="50"/>
      <c r="FS163" s="50"/>
      <c r="FT163" s="50"/>
      <c r="FU163" s="50"/>
      <c r="FV163" s="50"/>
      <c r="FW163" s="50"/>
      <c r="FX163" s="50"/>
      <c r="FY163" s="50"/>
      <c r="FZ163" s="50"/>
      <c r="GA163" s="50"/>
      <c r="GB163" s="50"/>
      <c r="GC163" s="50"/>
      <c r="GD163" s="50"/>
      <c r="GE163" s="50"/>
      <c r="GF163" s="50"/>
      <c r="GG163" s="50"/>
      <c r="GH163" s="50"/>
      <c r="GI163" s="50"/>
      <c r="GJ163" s="50"/>
      <c r="GK163" s="50"/>
      <c r="GL163" s="50"/>
      <c r="GM163" s="50"/>
      <c r="GN163" s="50"/>
      <c r="GO163" s="50"/>
      <c r="GP163" s="50"/>
      <c r="GQ163" s="50"/>
      <c r="GR163" s="50"/>
      <c r="GS163" s="50"/>
      <c r="GT163" s="50"/>
      <c r="GU163" s="50"/>
      <c r="GV163" s="50"/>
      <c r="GW163" s="50"/>
      <c r="GX163" s="50"/>
      <c r="GY163" s="50"/>
      <c r="GZ163" s="50"/>
      <c r="HA163" s="50"/>
    </row>
    <row r="164" s="51" customFormat="1" spans="1:209">
      <c r="A164" s="50"/>
      <c r="B164" s="50"/>
      <c r="C164" s="50"/>
      <c r="D164" s="50"/>
      <c r="E164" s="50"/>
      <c r="F164" s="50"/>
      <c r="G164" s="50"/>
      <c r="H164" s="60" t="s">
        <v>270</v>
      </c>
      <c r="I164" s="60" t="s">
        <v>412</v>
      </c>
      <c r="J164" s="59">
        <v>4466</v>
      </c>
      <c r="K164" s="59">
        <v>27184</v>
      </c>
      <c r="L164" s="59">
        <v>134049</v>
      </c>
      <c r="M164" s="59">
        <v>2478</v>
      </c>
      <c r="N164" s="59">
        <v>168177</v>
      </c>
      <c r="O164" s="63"/>
      <c r="P164" s="63">
        <f t="shared" ref="P164:P189" si="5">O164-N164</f>
        <v>-168177</v>
      </c>
      <c r="Q164" s="50"/>
      <c r="R164" s="50"/>
      <c r="S164" s="69" t="s">
        <v>270</v>
      </c>
      <c r="T164" s="50"/>
      <c r="U164" s="52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  <c r="BN164" s="50"/>
      <c r="BO164" s="50"/>
      <c r="BP164" s="50"/>
      <c r="BQ164" s="50"/>
      <c r="BR164" s="50"/>
      <c r="BS164" s="50"/>
      <c r="BT164" s="50"/>
      <c r="BU164" s="50"/>
      <c r="BV164" s="50"/>
      <c r="BW164" s="50"/>
      <c r="BX164" s="50"/>
      <c r="BY164" s="50"/>
      <c r="BZ164" s="50"/>
      <c r="CA164" s="50"/>
      <c r="CB164" s="50"/>
      <c r="CC164" s="50"/>
      <c r="CD164" s="50"/>
      <c r="CE164" s="50"/>
      <c r="CF164" s="50"/>
      <c r="CG164" s="50"/>
      <c r="CH164" s="50"/>
      <c r="CI164" s="50"/>
      <c r="CJ164" s="50"/>
      <c r="CK164" s="50"/>
      <c r="CL164" s="50"/>
      <c r="CM164" s="50"/>
      <c r="CN164" s="50"/>
      <c r="CO164" s="50"/>
      <c r="CP164" s="50"/>
      <c r="CQ164" s="50"/>
      <c r="CR164" s="50"/>
      <c r="CS164" s="50"/>
      <c r="CT164" s="50"/>
      <c r="CU164" s="50"/>
      <c r="CV164" s="50"/>
      <c r="CW164" s="50"/>
      <c r="CX164" s="50"/>
      <c r="CY164" s="50"/>
      <c r="CZ164" s="50"/>
      <c r="DA164" s="50"/>
      <c r="DB164" s="50"/>
      <c r="DC164" s="50"/>
      <c r="DD164" s="50"/>
      <c r="DE164" s="50"/>
      <c r="DF164" s="50"/>
      <c r="DG164" s="50"/>
      <c r="DH164" s="50"/>
      <c r="DI164" s="50"/>
      <c r="DJ164" s="50"/>
      <c r="DK164" s="50"/>
      <c r="DL164" s="50"/>
      <c r="DM164" s="50"/>
      <c r="DN164" s="50"/>
      <c r="DO164" s="50"/>
      <c r="DP164" s="50"/>
      <c r="DQ164" s="50"/>
      <c r="DR164" s="50"/>
      <c r="DS164" s="50"/>
      <c r="DT164" s="50"/>
      <c r="DU164" s="50"/>
      <c r="DV164" s="50"/>
      <c r="DW164" s="50"/>
      <c r="DX164" s="50"/>
      <c r="DY164" s="50"/>
      <c r="DZ164" s="50"/>
      <c r="EA164" s="50"/>
      <c r="EB164" s="50"/>
      <c r="EC164" s="50"/>
      <c r="ED164" s="50"/>
      <c r="EE164" s="50"/>
      <c r="EF164" s="50"/>
      <c r="EG164" s="50"/>
      <c r="EH164" s="50"/>
      <c r="EI164" s="50"/>
      <c r="EJ164" s="50"/>
      <c r="EK164" s="50"/>
      <c r="EL164" s="50"/>
      <c r="EM164" s="50"/>
      <c r="EN164" s="50"/>
      <c r="EO164" s="50"/>
      <c r="EP164" s="50"/>
      <c r="EQ164" s="50"/>
      <c r="ER164" s="50"/>
      <c r="ES164" s="50"/>
      <c r="ET164" s="50"/>
      <c r="EU164" s="50"/>
      <c r="EV164" s="50"/>
      <c r="EW164" s="50"/>
      <c r="EX164" s="50"/>
      <c r="EY164" s="50"/>
      <c r="EZ164" s="50"/>
      <c r="FA164" s="50"/>
      <c r="FB164" s="50"/>
      <c r="FC164" s="50"/>
      <c r="FD164" s="50"/>
      <c r="FE164" s="50"/>
      <c r="FF164" s="50"/>
      <c r="FG164" s="50"/>
      <c r="FH164" s="50"/>
      <c r="FI164" s="50"/>
      <c r="FJ164" s="50"/>
      <c r="FK164" s="50"/>
      <c r="FL164" s="50"/>
      <c r="FM164" s="50"/>
      <c r="FN164" s="50"/>
      <c r="FO164" s="50"/>
      <c r="FP164" s="50"/>
      <c r="FQ164" s="50"/>
      <c r="FR164" s="50"/>
      <c r="FS164" s="50"/>
      <c r="FT164" s="50"/>
      <c r="FU164" s="50"/>
      <c r="FV164" s="50"/>
      <c r="FW164" s="50"/>
      <c r="FX164" s="50"/>
      <c r="FY164" s="50"/>
      <c r="FZ164" s="50"/>
      <c r="GA164" s="50"/>
      <c r="GB164" s="50"/>
      <c r="GC164" s="50"/>
      <c r="GD164" s="50"/>
      <c r="GE164" s="50"/>
      <c r="GF164" s="50"/>
      <c r="GG164" s="50"/>
      <c r="GH164" s="50"/>
      <c r="GI164" s="50"/>
      <c r="GJ164" s="50"/>
      <c r="GK164" s="50"/>
      <c r="GL164" s="50"/>
      <c r="GM164" s="50"/>
      <c r="GN164" s="50"/>
      <c r="GO164" s="50"/>
      <c r="GP164" s="50"/>
      <c r="GQ164" s="50"/>
      <c r="GR164" s="50"/>
      <c r="GS164" s="50"/>
      <c r="GT164" s="50"/>
      <c r="GU164" s="50"/>
      <c r="GV164" s="50"/>
      <c r="GW164" s="50"/>
      <c r="GX164" s="50"/>
      <c r="GY164" s="50"/>
      <c r="GZ164" s="50"/>
      <c r="HA164" s="50"/>
    </row>
    <row r="165" s="51" customFormat="1" spans="1:209">
      <c r="A165" s="50"/>
      <c r="B165" s="50"/>
      <c r="C165" s="50"/>
      <c r="D165" s="50"/>
      <c r="E165" s="50"/>
      <c r="F165" s="50"/>
      <c r="G165" s="50"/>
      <c r="H165" s="60" t="s">
        <v>270</v>
      </c>
      <c r="I165" s="60" t="s">
        <v>413</v>
      </c>
      <c r="J165" s="59">
        <v>2007</v>
      </c>
      <c r="K165" s="59">
        <v>12348</v>
      </c>
      <c r="L165" s="59">
        <v>73326</v>
      </c>
      <c r="M165" s="59">
        <v>2414</v>
      </c>
      <c r="N165" s="59">
        <v>90095</v>
      </c>
      <c r="O165" s="63"/>
      <c r="P165" s="63">
        <f t="shared" si="5"/>
        <v>-90095</v>
      </c>
      <c r="Q165" s="50"/>
      <c r="R165" s="50"/>
      <c r="S165" s="69" t="s">
        <v>270</v>
      </c>
      <c r="T165" s="50"/>
      <c r="U165" s="52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  <c r="BN165" s="50"/>
      <c r="BO165" s="50"/>
      <c r="BP165" s="50"/>
      <c r="BQ165" s="50"/>
      <c r="BR165" s="50"/>
      <c r="BS165" s="50"/>
      <c r="BT165" s="50"/>
      <c r="BU165" s="50"/>
      <c r="BV165" s="50"/>
      <c r="BW165" s="50"/>
      <c r="BX165" s="50"/>
      <c r="BY165" s="50"/>
      <c r="BZ165" s="50"/>
      <c r="CA165" s="50"/>
      <c r="CB165" s="50"/>
      <c r="CC165" s="50"/>
      <c r="CD165" s="50"/>
      <c r="CE165" s="50"/>
      <c r="CF165" s="50"/>
      <c r="CG165" s="50"/>
      <c r="CH165" s="50"/>
      <c r="CI165" s="50"/>
      <c r="CJ165" s="50"/>
      <c r="CK165" s="50"/>
      <c r="CL165" s="50"/>
      <c r="CM165" s="50"/>
      <c r="CN165" s="50"/>
      <c r="CO165" s="50"/>
      <c r="CP165" s="50"/>
      <c r="CQ165" s="50"/>
      <c r="CR165" s="50"/>
      <c r="CS165" s="50"/>
      <c r="CT165" s="50"/>
      <c r="CU165" s="50"/>
      <c r="CV165" s="50"/>
      <c r="CW165" s="50"/>
      <c r="CX165" s="50"/>
      <c r="CY165" s="50"/>
      <c r="CZ165" s="50"/>
      <c r="DA165" s="50"/>
      <c r="DB165" s="50"/>
      <c r="DC165" s="50"/>
      <c r="DD165" s="50"/>
      <c r="DE165" s="50"/>
      <c r="DF165" s="50"/>
      <c r="DG165" s="50"/>
      <c r="DH165" s="50"/>
      <c r="DI165" s="50"/>
      <c r="DJ165" s="50"/>
      <c r="DK165" s="50"/>
      <c r="DL165" s="50"/>
      <c r="DM165" s="50"/>
      <c r="DN165" s="50"/>
      <c r="DO165" s="50"/>
      <c r="DP165" s="50"/>
      <c r="DQ165" s="50"/>
      <c r="DR165" s="50"/>
      <c r="DS165" s="50"/>
      <c r="DT165" s="50"/>
      <c r="DU165" s="50"/>
      <c r="DV165" s="50"/>
      <c r="DW165" s="50"/>
      <c r="DX165" s="50"/>
      <c r="DY165" s="50"/>
      <c r="DZ165" s="50"/>
      <c r="EA165" s="50"/>
      <c r="EB165" s="50"/>
      <c r="EC165" s="50"/>
      <c r="ED165" s="50"/>
      <c r="EE165" s="50"/>
      <c r="EF165" s="50"/>
      <c r="EG165" s="50"/>
      <c r="EH165" s="50"/>
      <c r="EI165" s="50"/>
      <c r="EJ165" s="50"/>
      <c r="EK165" s="50"/>
      <c r="EL165" s="50"/>
      <c r="EM165" s="50"/>
      <c r="EN165" s="50"/>
      <c r="EO165" s="50"/>
      <c r="EP165" s="50"/>
      <c r="EQ165" s="50"/>
      <c r="ER165" s="50"/>
      <c r="ES165" s="50"/>
      <c r="ET165" s="50"/>
      <c r="EU165" s="50"/>
      <c r="EV165" s="50"/>
      <c r="EW165" s="50"/>
      <c r="EX165" s="50"/>
      <c r="EY165" s="50"/>
      <c r="EZ165" s="50"/>
      <c r="FA165" s="50"/>
      <c r="FB165" s="50"/>
      <c r="FC165" s="50"/>
      <c r="FD165" s="50"/>
      <c r="FE165" s="50"/>
      <c r="FF165" s="50"/>
      <c r="FG165" s="50"/>
      <c r="FH165" s="50"/>
      <c r="FI165" s="50"/>
      <c r="FJ165" s="50"/>
      <c r="FK165" s="50"/>
      <c r="FL165" s="50"/>
      <c r="FM165" s="50"/>
      <c r="FN165" s="50"/>
      <c r="FO165" s="50"/>
      <c r="FP165" s="50"/>
      <c r="FQ165" s="50"/>
      <c r="FR165" s="50"/>
      <c r="FS165" s="50"/>
      <c r="FT165" s="50"/>
      <c r="FU165" s="50"/>
      <c r="FV165" s="50"/>
      <c r="FW165" s="50"/>
      <c r="FX165" s="50"/>
      <c r="FY165" s="50"/>
      <c r="FZ165" s="50"/>
      <c r="GA165" s="50"/>
      <c r="GB165" s="50"/>
      <c r="GC165" s="50"/>
      <c r="GD165" s="50"/>
      <c r="GE165" s="50"/>
      <c r="GF165" s="50"/>
      <c r="GG165" s="50"/>
      <c r="GH165" s="50"/>
      <c r="GI165" s="50"/>
      <c r="GJ165" s="50"/>
      <c r="GK165" s="50"/>
      <c r="GL165" s="50"/>
      <c r="GM165" s="50"/>
      <c r="GN165" s="50"/>
      <c r="GO165" s="50"/>
      <c r="GP165" s="50"/>
      <c r="GQ165" s="50"/>
      <c r="GR165" s="50"/>
      <c r="GS165" s="50"/>
      <c r="GT165" s="50"/>
      <c r="GU165" s="50"/>
      <c r="GV165" s="50"/>
      <c r="GW165" s="50"/>
      <c r="GX165" s="50"/>
      <c r="GY165" s="50"/>
      <c r="GZ165" s="50"/>
      <c r="HA165" s="50"/>
    </row>
    <row r="166" s="51" customFormat="1" spans="1:209">
      <c r="A166" s="50"/>
      <c r="B166" s="50"/>
      <c r="C166" s="50"/>
      <c r="D166" s="50"/>
      <c r="E166" s="50"/>
      <c r="F166" s="50"/>
      <c r="G166" s="50"/>
      <c r="H166" s="60" t="s">
        <v>270</v>
      </c>
      <c r="I166" s="60" t="s">
        <v>414</v>
      </c>
      <c r="J166" s="59">
        <v>4562</v>
      </c>
      <c r="K166" s="59">
        <v>29309</v>
      </c>
      <c r="L166" s="59">
        <v>145247</v>
      </c>
      <c r="M166" s="59">
        <v>1136</v>
      </c>
      <c r="N166" s="59">
        <v>180254</v>
      </c>
      <c r="O166" s="63"/>
      <c r="P166" s="63">
        <f t="shared" si="5"/>
        <v>-180254</v>
      </c>
      <c r="Q166" s="50"/>
      <c r="R166" s="50"/>
      <c r="S166" s="69" t="s">
        <v>270</v>
      </c>
      <c r="T166" s="50"/>
      <c r="U166" s="52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  <c r="BN166" s="50"/>
      <c r="BO166" s="50"/>
      <c r="BP166" s="50"/>
      <c r="BQ166" s="50"/>
      <c r="BR166" s="50"/>
      <c r="BS166" s="50"/>
      <c r="BT166" s="50"/>
      <c r="BU166" s="50"/>
      <c r="BV166" s="50"/>
      <c r="BW166" s="50"/>
      <c r="BX166" s="50"/>
      <c r="BY166" s="50"/>
      <c r="BZ166" s="50"/>
      <c r="CA166" s="50"/>
      <c r="CB166" s="50"/>
      <c r="CC166" s="50"/>
      <c r="CD166" s="50"/>
      <c r="CE166" s="50"/>
      <c r="CF166" s="50"/>
      <c r="CG166" s="50"/>
      <c r="CH166" s="50"/>
      <c r="CI166" s="50"/>
      <c r="CJ166" s="50"/>
      <c r="CK166" s="50"/>
      <c r="CL166" s="50"/>
      <c r="CM166" s="50"/>
      <c r="CN166" s="50"/>
      <c r="CO166" s="50"/>
      <c r="CP166" s="50"/>
      <c r="CQ166" s="50"/>
      <c r="CR166" s="50"/>
      <c r="CS166" s="50"/>
      <c r="CT166" s="50"/>
      <c r="CU166" s="50"/>
      <c r="CV166" s="50"/>
      <c r="CW166" s="50"/>
      <c r="CX166" s="50"/>
      <c r="CY166" s="50"/>
      <c r="CZ166" s="50"/>
      <c r="DA166" s="50"/>
      <c r="DB166" s="50"/>
      <c r="DC166" s="50"/>
      <c r="DD166" s="50"/>
      <c r="DE166" s="50"/>
      <c r="DF166" s="50"/>
      <c r="DG166" s="50"/>
      <c r="DH166" s="50"/>
      <c r="DI166" s="50"/>
      <c r="DJ166" s="50"/>
      <c r="DK166" s="50"/>
      <c r="DL166" s="50"/>
      <c r="DM166" s="50"/>
      <c r="DN166" s="50"/>
      <c r="DO166" s="50"/>
      <c r="DP166" s="50"/>
      <c r="DQ166" s="50"/>
      <c r="DR166" s="50"/>
      <c r="DS166" s="50"/>
      <c r="DT166" s="50"/>
      <c r="DU166" s="50"/>
      <c r="DV166" s="50"/>
      <c r="DW166" s="50"/>
      <c r="DX166" s="50"/>
      <c r="DY166" s="50"/>
      <c r="DZ166" s="50"/>
      <c r="EA166" s="50"/>
      <c r="EB166" s="50"/>
      <c r="EC166" s="50"/>
      <c r="ED166" s="50"/>
      <c r="EE166" s="50"/>
      <c r="EF166" s="50"/>
      <c r="EG166" s="50"/>
      <c r="EH166" s="50"/>
      <c r="EI166" s="50"/>
      <c r="EJ166" s="50"/>
      <c r="EK166" s="50"/>
      <c r="EL166" s="50"/>
      <c r="EM166" s="50"/>
      <c r="EN166" s="50"/>
      <c r="EO166" s="50"/>
      <c r="EP166" s="50"/>
      <c r="EQ166" s="50"/>
      <c r="ER166" s="50"/>
      <c r="ES166" s="50"/>
      <c r="ET166" s="50"/>
      <c r="EU166" s="50"/>
      <c r="EV166" s="50"/>
      <c r="EW166" s="50"/>
      <c r="EX166" s="50"/>
      <c r="EY166" s="50"/>
      <c r="EZ166" s="50"/>
      <c r="FA166" s="50"/>
      <c r="FB166" s="50"/>
      <c r="FC166" s="50"/>
      <c r="FD166" s="50"/>
      <c r="FE166" s="50"/>
      <c r="FF166" s="50"/>
      <c r="FG166" s="50"/>
      <c r="FH166" s="50"/>
      <c r="FI166" s="50"/>
      <c r="FJ166" s="50"/>
      <c r="FK166" s="50"/>
      <c r="FL166" s="50"/>
      <c r="FM166" s="50"/>
      <c r="FN166" s="50"/>
      <c r="FO166" s="50"/>
      <c r="FP166" s="50"/>
      <c r="FQ166" s="50"/>
      <c r="FR166" s="50"/>
      <c r="FS166" s="50"/>
      <c r="FT166" s="50"/>
      <c r="FU166" s="50"/>
      <c r="FV166" s="50"/>
      <c r="FW166" s="50"/>
      <c r="FX166" s="50"/>
      <c r="FY166" s="50"/>
      <c r="FZ166" s="50"/>
      <c r="GA166" s="50"/>
      <c r="GB166" s="50"/>
      <c r="GC166" s="50"/>
      <c r="GD166" s="50"/>
      <c r="GE166" s="50"/>
      <c r="GF166" s="50"/>
      <c r="GG166" s="50"/>
      <c r="GH166" s="50"/>
      <c r="GI166" s="50"/>
      <c r="GJ166" s="50"/>
      <c r="GK166" s="50"/>
      <c r="GL166" s="50"/>
      <c r="GM166" s="50"/>
      <c r="GN166" s="50"/>
      <c r="GO166" s="50"/>
      <c r="GP166" s="50"/>
      <c r="GQ166" s="50"/>
      <c r="GR166" s="50"/>
      <c r="GS166" s="50"/>
      <c r="GT166" s="50"/>
      <c r="GU166" s="50"/>
      <c r="GV166" s="50"/>
      <c r="GW166" s="50"/>
      <c r="GX166" s="50"/>
      <c r="GY166" s="50"/>
      <c r="GZ166" s="50"/>
      <c r="HA166" s="50"/>
    </row>
    <row r="167" s="51" customFormat="1" spans="1:209">
      <c r="A167" s="50"/>
      <c r="B167" s="50"/>
      <c r="C167" s="50"/>
      <c r="D167" s="50"/>
      <c r="E167" s="50"/>
      <c r="F167" s="50"/>
      <c r="G167" s="50"/>
      <c r="H167" s="60" t="s">
        <v>270</v>
      </c>
      <c r="I167" s="60" t="s">
        <v>415</v>
      </c>
      <c r="J167" s="59">
        <v>14443</v>
      </c>
      <c r="K167" s="59">
        <v>95109</v>
      </c>
      <c r="L167" s="59">
        <v>390679</v>
      </c>
      <c r="M167" s="59">
        <v>3647</v>
      </c>
      <c r="N167" s="59">
        <v>503878</v>
      </c>
      <c r="O167" s="63"/>
      <c r="P167" s="63">
        <f t="shared" si="5"/>
        <v>-503878</v>
      </c>
      <c r="Q167" s="50"/>
      <c r="R167" s="50"/>
      <c r="S167" s="69" t="s">
        <v>270</v>
      </c>
      <c r="T167" s="50"/>
      <c r="U167" s="52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  <c r="BN167" s="50"/>
      <c r="BO167" s="50"/>
      <c r="BP167" s="50"/>
      <c r="BQ167" s="50"/>
      <c r="BR167" s="50"/>
      <c r="BS167" s="50"/>
      <c r="BT167" s="50"/>
      <c r="BU167" s="50"/>
      <c r="BV167" s="50"/>
      <c r="BW167" s="50"/>
      <c r="BX167" s="50"/>
      <c r="BY167" s="50"/>
      <c r="BZ167" s="50"/>
      <c r="CA167" s="50"/>
      <c r="CB167" s="50"/>
      <c r="CC167" s="50"/>
      <c r="CD167" s="50"/>
      <c r="CE167" s="50"/>
      <c r="CF167" s="50"/>
      <c r="CG167" s="50"/>
      <c r="CH167" s="50"/>
      <c r="CI167" s="50"/>
      <c r="CJ167" s="50"/>
      <c r="CK167" s="50"/>
      <c r="CL167" s="50"/>
      <c r="CM167" s="50"/>
      <c r="CN167" s="50"/>
      <c r="CO167" s="50"/>
      <c r="CP167" s="50"/>
      <c r="CQ167" s="50"/>
      <c r="CR167" s="50"/>
      <c r="CS167" s="50"/>
      <c r="CT167" s="50"/>
      <c r="CU167" s="50"/>
      <c r="CV167" s="50"/>
      <c r="CW167" s="50"/>
      <c r="CX167" s="50"/>
      <c r="CY167" s="50"/>
      <c r="CZ167" s="50"/>
      <c r="DA167" s="50"/>
      <c r="DB167" s="50"/>
      <c r="DC167" s="50"/>
      <c r="DD167" s="50"/>
      <c r="DE167" s="50"/>
      <c r="DF167" s="50"/>
      <c r="DG167" s="50"/>
      <c r="DH167" s="50"/>
      <c r="DI167" s="50"/>
      <c r="DJ167" s="50"/>
      <c r="DK167" s="50"/>
      <c r="DL167" s="50"/>
      <c r="DM167" s="50"/>
      <c r="DN167" s="50"/>
      <c r="DO167" s="50"/>
      <c r="DP167" s="50"/>
      <c r="DQ167" s="50"/>
      <c r="DR167" s="50"/>
      <c r="DS167" s="50"/>
      <c r="DT167" s="50"/>
      <c r="DU167" s="50"/>
      <c r="DV167" s="50"/>
      <c r="DW167" s="50"/>
      <c r="DX167" s="50"/>
      <c r="DY167" s="50"/>
      <c r="DZ167" s="50"/>
      <c r="EA167" s="50"/>
      <c r="EB167" s="50"/>
      <c r="EC167" s="50"/>
      <c r="ED167" s="50"/>
      <c r="EE167" s="50"/>
      <c r="EF167" s="50"/>
      <c r="EG167" s="50"/>
      <c r="EH167" s="50"/>
      <c r="EI167" s="50"/>
      <c r="EJ167" s="50"/>
      <c r="EK167" s="50"/>
      <c r="EL167" s="50"/>
      <c r="EM167" s="50"/>
      <c r="EN167" s="50"/>
      <c r="EO167" s="50"/>
      <c r="EP167" s="50"/>
      <c r="EQ167" s="50"/>
      <c r="ER167" s="50"/>
      <c r="ES167" s="50"/>
      <c r="ET167" s="50"/>
      <c r="EU167" s="50"/>
      <c r="EV167" s="50"/>
      <c r="EW167" s="50"/>
      <c r="EX167" s="50"/>
      <c r="EY167" s="50"/>
      <c r="EZ167" s="50"/>
      <c r="FA167" s="50"/>
      <c r="FB167" s="50"/>
      <c r="FC167" s="50"/>
      <c r="FD167" s="50"/>
      <c r="FE167" s="50"/>
      <c r="FF167" s="50"/>
      <c r="FG167" s="50"/>
      <c r="FH167" s="50"/>
      <c r="FI167" s="50"/>
      <c r="FJ167" s="50"/>
      <c r="FK167" s="50"/>
      <c r="FL167" s="50"/>
      <c r="FM167" s="50"/>
      <c r="FN167" s="50"/>
      <c r="FO167" s="50"/>
      <c r="FP167" s="50"/>
      <c r="FQ167" s="50"/>
      <c r="FR167" s="50"/>
      <c r="FS167" s="50"/>
      <c r="FT167" s="50"/>
      <c r="FU167" s="50"/>
      <c r="FV167" s="50"/>
      <c r="FW167" s="50"/>
      <c r="FX167" s="50"/>
      <c r="FY167" s="50"/>
      <c r="FZ167" s="50"/>
      <c r="GA167" s="50"/>
      <c r="GB167" s="50"/>
      <c r="GC167" s="50"/>
      <c r="GD167" s="50"/>
      <c r="GE167" s="50"/>
      <c r="GF167" s="50"/>
      <c r="GG167" s="50"/>
      <c r="GH167" s="50"/>
      <c r="GI167" s="50"/>
      <c r="GJ167" s="50"/>
      <c r="GK167" s="50"/>
      <c r="GL167" s="50"/>
      <c r="GM167" s="50"/>
      <c r="GN167" s="50"/>
      <c r="GO167" s="50"/>
      <c r="GP167" s="50"/>
      <c r="GQ167" s="50"/>
      <c r="GR167" s="50"/>
      <c r="GS167" s="50"/>
      <c r="GT167" s="50"/>
      <c r="GU167" s="50"/>
      <c r="GV167" s="50"/>
      <c r="GW167" s="50"/>
      <c r="GX167" s="50"/>
      <c r="GY167" s="50"/>
      <c r="GZ167" s="50"/>
      <c r="HA167" s="50"/>
    </row>
    <row r="168" s="51" customFormat="1" spans="1:209">
      <c r="A168" s="50"/>
      <c r="B168" s="50"/>
      <c r="C168" s="50"/>
      <c r="D168" s="50"/>
      <c r="E168" s="50"/>
      <c r="F168" s="50"/>
      <c r="G168" s="50"/>
      <c r="H168" s="60" t="s">
        <v>270</v>
      </c>
      <c r="I168" s="60" t="s">
        <v>416</v>
      </c>
      <c r="J168" s="59">
        <v>19320</v>
      </c>
      <c r="K168" s="59">
        <v>146045</v>
      </c>
      <c r="L168" s="59">
        <v>407848</v>
      </c>
      <c r="M168" s="59">
        <v>3433</v>
      </c>
      <c r="N168" s="59">
        <v>576646</v>
      </c>
      <c r="O168" s="63"/>
      <c r="P168" s="63">
        <f t="shared" si="5"/>
        <v>-576646</v>
      </c>
      <c r="Q168" s="50"/>
      <c r="R168" s="50"/>
      <c r="S168" s="69" t="s">
        <v>270</v>
      </c>
      <c r="T168" s="50"/>
      <c r="U168" s="52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  <c r="BN168" s="50"/>
      <c r="BO168" s="50"/>
      <c r="BP168" s="50"/>
      <c r="BQ168" s="50"/>
      <c r="BR168" s="50"/>
      <c r="BS168" s="50"/>
      <c r="BT168" s="50"/>
      <c r="BU168" s="50"/>
      <c r="BV168" s="50"/>
      <c r="BW168" s="50"/>
      <c r="BX168" s="50"/>
      <c r="BY168" s="50"/>
      <c r="BZ168" s="50"/>
      <c r="CA168" s="50"/>
      <c r="CB168" s="50"/>
      <c r="CC168" s="50"/>
      <c r="CD168" s="50"/>
      <c r="CE168" s="50"/>
      <c r="CF168" s="50"/>
      <c r="CG168" s="50"/>
      <c r="CH168" s="50"/>
      <c r="CI168" s="50"/>
      <c r="CJ168" s="50"/>
      <c r="CK168" s="50"/>
      <c r="CL168" s="50"/>
      <c r="CM168" s="50"/>
      <c r="CN168" s="50"/>
      <c r="CO168" s="50"/>
      <c r="CP168" s="50"/>
      <c r="CQ168" s="50"/>
      <c r="CR168" s="50"/>
      <c r="CS168" s="50"/>
      <c r="CT168" s="50"/>
      <c r="CU168" s="50"/>
      <c r="CV168" s="50"/>
      <c r="CW168" s="50"/>
      <c r="CX168" s="50"/>
      <c r="CY168" s="50"/>
      <c r="CZ168" s="50"/>
      <c r="DA168" s="50"/>
      <c r="DB168" s="50"/>
      <c r="DC168" s="50"/>
      <c r="DD168" s="50"/>
      <c r="DE168" s="50"/>
      <c r="DF168" s="50"/>
      <c r="DG168" s="50"/>
      <c r="DH168" s="50"/>
      <c r="DI168" s="50"/>
      <c r="DJ168" s="50"/>
      <c r="DK168" s="50"/>
      <c r="DL168" s="50"/>
      <c r="DM168" s="50"/>
      <c r="DN168" s="50"/>
      <c r="DO168" s="50"/>
      <c r="DP168" s="50"/>
      <c r="DQ168" s="50"/>
      <c r="DR168" s="50"/>
      <c r="DS168" s="50"/>
      <c r="DT168" s="50"/>
      <c r="DU168" s="50"/>
      <c r="DV168" s="50"/>
      <c r="DW168" s="50"/>
      <c r="DX168" s="50"/>
      <c r="DY168" s="50"/>
      <c r="DZ168" s="50"/>
      <c r="EA168" s="50"/>
      <c r="EB168" s="50"/>
      <c r="EC168" s="50"/>
      <c r="ED168" s="50"/>
      <c r="EE168" s="50"/>
      <c r="EF168" s="50"/>
      <c r="EG168" s="50"/>
      <c r="EH168" s="50"/>
      <c r="EI168" s="50"/>
      <c r="EJ168" s="50"/>
      <c r="EK168" s="50"/>
      <c r="EL168" s="50"/>
      <c r="EM168" s="50"/>
      <c r="EN168" s="50"/>
      <c r="EO168" s="50"/>
      <c r="EP168" s="50"/>
      <c r="EQ168" s="50"/>
      <c r="ER168" s="50"/>
      <c r="ES168" s="50"/>
      <c r="ET168" s="50"/>
      <c r="EU168" s="50"/>
      <c r="EV168" s="50"/>
      <c r="EW168" s="50"/>
      <c r="EX168" s="50"/>
      <c r="EY168" s="50"/>
      <c r="EZ168" s="50"/>
      <c r="FA168" s="50"/>
      <c r="FB168" s="50"/>
      <c r="FC168" s="50"/>
      <c r="FD168" s="50"/>
      <c r="FE168" s="50"/>
      <c r="FF168" s="50"/>
      <c r="FG168" s="50"/>
      <c r="FH168" s="50"/>
      <c r="FI168" s="50"/>
      <c r="FJ168" s="50"/>
      <c r="FK168" s="50"/>
      <c r="FL168" s="50"/>
      <c r="FM168" s="50"/>
      <c r="FN168" s="50"/>
      <c r="FO168" s="50"/>
      <c r="FP168" s="50"/>
      <c r="FQ168" s="50"/>
      <c r="FR168" s="50"/>
      <c r="FS168" s="50"/>
      <c r="FT168" s="50"/>
      <c r="FU168" s="50"/>
      <c r="FV168" s="50"/>
      <c r="FW168" s="50"/>
      <c r="FX168" s="50"/>
      <c r="FY168" s="50"/>
      <c r="FZ168" s="50"/>
      <c r="GA168" s="50"/>
      <c r="GB168" s="50"/>
      <c r="GC168" s="50"/>
      <c r="GD168" s="50"/>
      <c r="GE168" s="50"/>
      <c r="GF168" s="50"/>
      <c r="GG168" s="50"/>
      <c r="GH168" s="50"/>
      <c r="GI168" s="50"/>
      <c r="GJ168" s="50"/>
      <c r="GK168" s="50"/>
      <c r="GL168" s="50"/>
      <c r="GM168" s="50"/>
      <c r="GN168" s="50"/>
      <c r="GO168" s="50"/>
      <c r="GP168" s="50"/>
      <c r="GQ168" s="50"/>
      <c r="GR168" s="50"/>
      <c r="GS168" s="50"/>
      <c r="GT168" s="50"/>
      <c r="GU168" s="50"/>
      <c r="GV168" s="50"/>
      <c r="GW168" s="50"/>
      <c r="GX168" s="50"/>
      <c r="GY168" s="50"/>
      <c r="GZ168" s="50"/>
      <c r="HA168" s="50"/>
    </row>
    <row r="169" s="51" customFormat="1" spans="1:209">
      <c r="A169" s="50"/>
      <c r="B169" s="50"/>
      <c r="C169" s="50"/>
      <c r="D169" s="50"/>
      <c r="E169" s="50"/>
      <c r="F169" s="50"/>
      <c r="G169" s="50"/>
      <c r="H169" s="60" t="s">
        <v>270</v>
      </c>
      <c r="I169" s="60" t="s">
        <v>417</v>
      </c>
      <c r="J169" s="59">
        <v>10464</v>
      </c>
      <c r="K169" s="59">
        <v>62315</v>
      </c>
      <c r="L169" s="59">
        <v>250713</v>
      </c>
      <c r="M169" s="59">
        <v>1327</v>
      </c>
      <c r="N169" s="59">
        <v>324819</v>
      </c>
      <c r="O169" s="63"/>
      <c r="P169" s="63">
        <f t="shared" si="5"/>
        <v>-324819</v>
      </c>
      <c r="Q169" s="50"/>
      <c r="R169" s="50"/>
      <c r="S169" s="69" t="s">
        <v>270</v>
      </c>
      <c r="T169" s="50"/>
      <c r="U169" s="52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  <c r="BN169" s="50"/>
      <c r="BO169" s="50"/>
      <c r="BP169" s="50"/>
      <c r="BQ169" s="50"/>
      <c r="BR169" s="50"/>
      <c r="BS169" s="50"/>
      <c r="BT169" s="50"/>
      <c r="BU169" s="50"/>
      <c r="BV169" s="50"/>
      <c r="BW169" s="50"/>
      <c r="BX169" s="50"/>
      <c r="BY169" s="50"/>
      <c r="BZ169" s="50"/>
      <c r="CA169" s="50"/>
      <c r="CB169" s="50"/>
      <c r="CC169" s="50"/>
      <c r="CD169" s="50"/>
      <c r="CE169" s="50"/>
      <c r="CF169" s="50"/>
      <c r="CG169" s="50"/>
      <c r="CH169" s="50"/>
      <c r="CI169" s="50"/>
      <c r="CJ169" s="50"/>
      <c r="CK169" s="50"/>
      <c r="CL169" s="50"/>
      <c r="CM169" s="50"/>
      <c r="CN169" s="50"/>
      <c r="CO169" s="50"/>
      <c r="CP169" s="50"/>
      <c r="CQ169" s="50"/>
      <c r="CR169" s="50"/>
      <c r="CS169" s="50"/>
      <c r="CT169" s="50"/>
      <c r="CU169" s="50"/>
      <c r="CV169" s="50"/>
      <c r="CW169" s="50"/>
      <c r="CX169" s="50"/>
      <c r="CY169" s="50"/>
      <c r="CZ169" s="50"/>
      <c r="DA169" s="50"/>
      <c r="DB169" s="50"/>
      <c r="DC169" s="50"/>
      <c r="DD169" s="50"/>
      <c r="DE169" s="50"/>
      <c r="DF169" s="50"/>
      <c r="DG169" s="50"/>
      <c r="DH169" s="50"/>
      <c r="DI169" s="50"/>
      <c r="DJ169" s="50"/>
      <c r="DK169" s="50"/>
      <c r="DL169" s="50"/>
      <c r="DM169" s="50"/>
      <c r="DN169" s="50"/>
      <c r="DO169" s="50"/>
      <c r="DP169" s="50"/>
      <c r="DQ169" s="50"/>
      <c r="DR169" s="50"/>
      <c r="DS169" s="50"/>
      <c r="DT169" s="50"/>
      <c r="DU169" s="50"/>
      <c r="DV169" s="50"/>
      <c r="DW169" s="50"/>
      <c r="DX169" s="50"/>
      <c r="DY169" s="50"/>
      <c r="DZ169" s="50"/>
      <c r="EA169" s="50"/>
      <c r="EB169" s="50"/>
      <c r="EC169" s="50"/>
      <c r="ED169" s="50"/>
      <c r="EE169" s="50"/>
      <c r="EF169" s="50"/>
      <c r="EG169" s="50"/>
      <c r="EH169" s="50"/>
      <c r="EI169" s="50"/>
      <c r="EJ169" s="50"/>
      <c r="EK169" s="50"/>
      <c r="EL169" s="50"/>
      <c r="EM169" s="50"/>
      <c r="EN169" s="50"/>
      <c r="EO169" s="50"/>
      <c r="EP169" s="50"/>
      <c r="EQ169" s="50"/>
      <c r="ER169" s="50"/>
      <c r="ES169" s="50"/>
      <c r="ET169" s="50"/>
      <c r="EU169" s="50"/>
      <c r="EV169" s="50"/>
      <c r="EW169" s="50"/>
      <c r="EX169" s="50"/>
      <c r="EY169" s="50"/>
      <c r="EZ169" s="50"/>
      <c r="FA169" s="50"/>
      <c r="FB169" s="50"/>
      <c r="FC169" s="50"/>
      <c r="FD169" s="50"/>
      <c r="FE169" s="50"/>
      <c r="FF169" s="50"/>
      <c r="FG169" s="50"/>
      <c r="FH169" s="50"/>
      <c r="FI169" s="50"/>
      <c r="FJ169" s="50"/>
      <c r="FK169" s="50"/>
      <c r="FL169" s="50"/>
      <c r="FM169" s="50"/>
      <c r="FN169" s="50"/>
      <c r="FO169" s="50"/>
      <c r="FP169" s="50"/>
      <c r="FQ169" s="50"/>
      <c r="FR169" s="50"/>
      <c r="FS169" s="50"/>
      <c r="FT169" s="50"/>
      <c r="FU169" s="50"/>
      <c r="FV169" s="50"/>
      <c r="FW169" s="50"/>
      <c r="FX169" s="50"/>
      <c r="FY169" s="50"/>
      <c r="FZ169" s="50"/>
      <c r="GA169" s="50"/>
      <c r="GB169" s="50"/>
      <c r="GC169" s="50"/>
      <c r="GD169" s="50"/>
      <c r="GE169" s="50"/>
      <c r="GF169" s="50"/>
      <c r="GG169" s="50"/>
      <c r="GH169" s="50"/>
      <c r="GI169" s="50"/>
      <c r="GJ169" s="50"/>
      <c r="GK169" s="50"/>
      <c r="GL169" s="50"/>
      <c r="GM169" s="50"/>
      <c r="GN169" s="50"/>
      <c r="GO169" s="50"/>
      <c r="GP169" s="50"/>
      <c r="GQ169" s="50"/>
      <c r="GR169" s="50"/>
      <c r="GS169" s="50"/>
      <c r="GT169" s="50"/>
      <c r="GU169" s="50"/>
      <c r="GV169" s="50"/>
      <c r="GW169" s="50"/>
      <c r="GX169" s="50"/>
      <c r="GY169" s="50"/>
      <c r="GZ169" s="50"/>
      <c r="HA169" s="50"/>
    </row>
    <row r="170" s="51" customFormat="1" spans="1:209">
      <c r="A170" s="50"/>
      <c r="B170" s="50"/>
      <c r="C170" s="50"/>
      <c r="D170" s="50"/>
      <c r="E170" s="50"/>
      <c r="F170" s="50"/>
      <c r="G170" s="50"/>
      <c r="H170" s="60" t="s">
        <v>270</v>
      </c>
      <c r="I170" s="60" t="s">
        <v>418</v>
      </c>
      <c r="J170" s="59">
        <v>10185</v>
      </c>
      <c r="K170" s="59">
        <v>76886</v>
      </c>
      <c r="L170" s="59">
        <v>330064</v>
      </c>
      <c r="M170" s="59">
        <v>2226</v>
      </c>
      <c r="N170" s="59">
        <v>419361</v>
      </c>
      <c r="O170" s="63"/>
      <c r="P170" s="63">
        <f t="shared" si="5"/>
        <v>-419361</v>
      </c>
      <c r="Q170" s="50"/>
      <c r="R170" s="50"/>
      <c r="S170" s="69" t="s">
        <v>270</v>
      </c>
      <c r="T170" s="50"/>
      <c r="U170" s="52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  <c r="BH170" s="50"/>
      <c r="BI170" s="50"/>
      <c r="BJ170" s="50"/>
      <c r="BK170" s="50"/>
      <c r="BL170" s="50"/>
      <c r="BM170" s="50"/>
      <c r="BN170" s="50"/>
      <c r="BO170" s="50"/>
      <c r="BP170" s="50"/>
      <c r="BQ170" s="50"/>
      <c r="BR170" s="50"/>
      <c r="BS170" s="50"/>
      <c r="BT170" s="50"/>
      <c r="BU170" s="50"/>
      <c r="BV170" s="50"/>
      <c r="BW170" s="50"/>
      <c r="BX170" s="50"/>
      <c r="BY170" s="50"/>
      <c r="BZ170" s="50"/>
      <c r="CA170" s="50"/>
      <c r="CB170" s="50"/>
      <c r="CC170" s="50"/>
      <c r="CD170" s="50"/>
      <c r="CE170" s="50"/>
      <c r="CF170" s="50"/>
      <c r="CG170" s="50"/>
      <c r="CH170" s="50"/>
      <c r="CI170" s="50"/>
      <c r="CJ170" s="50"/>
      <c r="CK170" s="50"/>
      <c r="CL170" s="50"/>
      <c r="CM170" s="50"/>
      <c r="CN170" s="50"/>
      <c r="CO170" s="50"/>
      <c r="CP170" s="50"/>
      <c r="CQ170" s="50"/>
      <c r="CR170" s="50"/>
      <c r="CS170" s="50"/>
      <c r="CT170" s="50"/>
      <c r="CU170" s="50"/>
      <c r="CV170" s="50"/>
      <c r="CW170" s="50"/>
      <c r="CX170" s="50"/>
      <c r="CY170" s="50"/>
      <c r="CZ170" s="50"/>
      <c r="DA170" s="50"/>
      <c r="DB170" s="50"/>
      <c r="DC170" s="50"/>
      <c r="DD170" s="50"/>
      <c r="DE170" s="50"/>
      <c r="DF170" s="50"/>
      <c r="DG170" s="50"/>
      <c r="DH170" s="50"/>
      <c r="DI170" s="50"/>
      <c r="DJ170" s="50"/>
      <c r="DK170" s="50"/>
      <c r="DL170" s="50"/>
      <c r="DM170" s="50"/>
      <c r="DN170" s="50"/>
      <c r="DO170" s="50"/>
      <c r="DP170" s="50"/>
      <c r="DQ170" s="50"/>
      <c r="DR170" s="50"/>
      <c r="DS170" s="50"/>
      <c r="DT170" s="50"/>
      <c r="DU170" s="50"/>
      <c r="DV170" s="50"/>
      <c r="DW170" s="50"/>
      <c r="DX170" s="50"/>
      <c r="DY170" s="50"/>
      <c r="DZ170" s="50"/>
      <c r="EA170" s="50"/>
      <c r="EB170" s="50"/>
      <c r="EC170" s="50"/>
      <c r="ED170" s="50"/>
      <c r="EE170" s="50"/>
      <c r="EF170" s="50"/>
      <c r="EG170" s="50"/>
      <c r="EH170" s="50"/>
      <c r="EI170" s="50"/>
      <c r="EJ170" s="50"/>
      <c r="EK170" s="50"/>
      <c r="EL170" s="50"/>
      <c r="EM170" s="50"/>
      <c r="EN170" s="50"/>
      <c r="EO170" s="50"/>
      <c r="EP170" s="50"/>
      <c r="EQ170" s="50"/>
      <c r="ER170" s="50"/>
      <c r="ES170" s="50"/>
      <c r="ET170" s="50"/>
      <c r="EU170" s="50"/>
      <c r="EV170" s="50"/>
      <c r="EW170" s="50"/>
      <c r="EX170" s="50"/>
      <c r="EY170" s="50"/>
      <c r="EZ170" s="50"/>
      <c r="FA170" s="50"/>
      <c r="FB170" s="50"/>
      <c r="FC170" s="50"/>
      <c r="FD170" s="50"/>
      <c r="FE170" s="50"/>
      <c r="FF170" s="50"/>
      <c r="FG170" s="50"/>
      <c r="FH170" s="50"/>
      <c r="FI170" s="50"/>
      <c r="FJ170" s="50"/>
      <c r="FK170" s="50"/>
      <c r="FL170" s="50"/>
      <c r="FM170" s="50"/>
      <c r="FN170" s="50"/>
      <c r="FO170" s="50"/>
      <c r="FP170" s="50"/>
      <c r="FQ170" s="50"/>
      <c r="FR170" s="50"/>
      <c r="FS170" s="50"/>
      <c r="FT170" s="50"/>
      <c r="FU170" s="50"/>
      <c r="FV170" s="50"/>
      <c r="FW170" s="50"/>
      <c r="FX170" s="50"/>
      <c r="FY170" s="50"/>
      <c r="FZ170" s="50"/>
      <c r="GA170" s="50"/>
      <c r="GB170" s="50"/>
      <c r="GC170" s="50"/>
      <c r="GD170" s="50"/>
      <c r="GE170" s="50"/>
      <c r="GF170" s="50"/>
      <c r="GG170" s="50"/>
      <c r="GH170" s="50"/>
      <c r="GI170" s="50"/>
      <c r="GJ170" s="50"/>
      <c r="GK170" s="50"/>
      <c r="GL170" s="50"/>
      <c r="GM170" s="50"/>
      <c r="GN170" s="50"/>
      <c r="GO170" s="50"/>
      <c r="GP170" s="50"/>
      <c r="GQ170" s="50"/>
      <c r="GR170" s="50"/>
      <c r="GS170" s="50"/>
      <c r="GT170" s="50"/>
      <c r="GU170" s="50"/>
      <c r="GV170" s="50"/>
      <c r="GW170" s="50"/>
      <c r="GX170" s="50"/>
      <c r="GY170" s="50"/>
      <c r="GZ170" s="50"/>
      <c r="HA170" s="50"/>
    </row>
    <row r="171" s="51" customFormat="1" spans="1:209">
      <c r="A171" s="50"/>
      <c r="B171" s="50"/>
      <c r="C171" s="50"/>
      <c r="D171" s="50"/>
      <c r="E171" s="50"/>
      <c r="F171" s="50"/>
      <c r="G171" s="50"/>
      <c r="H171" s="60" t="s">
        <v>270</v>
      </c>
      <c r="I171" s="60" t="s">
        <v>419</v>
      </c>
      <c r="J171" s="59">
        <v>23763</v>
      </c>
      <c r="K171" s="59">
        <v>131384</v>
      </c>
      <c r="L171" s="59">
        <v>499326</v>
      </c>
      <c r="M171" s="59">
        <v>4644</v>
      </c>
      <c r="N171" s="59">
        <v>659117</v>
      </c>
      <c r="O171" s="63"/>
      <c r="P171" s="63">
        <f t="shared" si="5"/>
        <v>-659117</v>
      </c>
      <c r="Q171" s="50"/>
      <c r="R171" s="50"/>
      <c r="S171" s="69" t="s">
        <v>270</v>
      </c>
      <c r="T171" s="50"/>
      <c r="U171" s="52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0"/>
      <c r="AX171" s="50"/>
      <c r="AY171" s="50"/>
      <c r="AZ171" s="50"/>
      <c r="BA171" s="50"/>
      <c r="BB171" s="50"/>
      <c r="BC171" s="50"/>
      <c r="BD171" s="50"/>
      <c r="BE171" s="50"/>
      <c r="BF171" s="50"/>
      <c r="BG171" s="50"/>
      <c r="BH171" s="50"/>
      <c r="BI171" s="50"/>
      <c r="BJ171" s="50"/>
      <c r="BK171" s="50"/>
      <c r="BL171" s="50"/>
      <c r="BM171" s="50"/>
      <c r="BN171" s="50"/>
      <c r="BO171" s="50"/>
      <c r="BP171" s="50"/>
      <c r="BQ171" s="50"/>
      <c r="BR171" s="50"/>
      <c r="BS171" s="50"/>
      <c r="BT171" s="50"/>
      <c r="BU171" s="50"/>
      <c r="BV171" s="50"/>
      <c r="BW171" s="50"/>
      <c r="BX171" s="50"/>
      <c r="BY171" s="50"/>
      <c r="BZ171" s="50"/>
      <c r="CA171" s="50"/>
      <c r="CB171" s="50"/>
      <c r="CC171" s="50"/>
      <c r="CD171" s="50"/>
      <c r="CE171" s="50"/>
      <c r="CF171" s="50"/>
      <c r="CG171" s="50"/>
      <c r="CH171" s="50"/>
      <c r="CI171" s="50"/>
      <c r="CJ171" s="50"/>
      <c r="CK171" s="50"/>
      <c r="CL171" s="50"/>
      <c r="CM171" s="50"/>
      <c r="CN171" s="50"/>
      <c r="CO171" s="50"/>
      <c r="CP171" s="50"/>
      <c r="CQ171" s="50"/>
      <c r="CR171" s="50"/>
      <c r="CS171" s="50"/>
      <c r="CT171" s="50"/>
      <c r="CU171" s="50"/>
      <c r="CV171" s="50"/>
      <c r="CW171" s="50"/>
      <c r="CX171" s="50"/>
      <c r="CY171" s="50"/>
      <c r="CZ171" s="50"/>
      <c r="DA171" s="50"/>
      <c r="DB171" s="50"/>
      <c r="DC171" s="50"/>
      <c r="DD171" s="50"/>
      <c r="DE171" s="50"/>
      <c r="DF171" s="50"/>
      <c r="DG171" s="50"/>
      <c r="DH171" s="50"/>
      <c r="DI171" s="50"/>
      <c r="DJ171" s="50"/>
      <c r="DK171" s="50"/>
      <c r="DL171" s="50"/>
      <c r="DM171" s="50"/>
      <c r="DN171" s="50"/>
      <c r="DO171" s="50"/>
      <c r="DP171" s="50"/>
      <c r="DQ171" s="50"/>
      <c r="DR171" s="50"/>
      <c r="DS171" s="50"/>
      <c r="DT171" s="50"/>
      <c r="DU171" s="50"/>
      <c r="DV171" s="50"/>
      <c r="DW171" s="50"/>
      <c r="DX171" s="50"/>
      <c r="DY171" s="50"/>
      <c r="DZ171" s="50"/>
      <c r="EA171" s="50"/>
      <c r="EB171" s="50"/>
      <c r="EC171" s="50"/>
      <c r="ED171" s="50"/>
      <c r="EE171" s="50"/>
      <c r="EF171" s="50"/>
      <c r="EG171" s="50"/>
      <c r="EH171" s="50"/>
      <c r="EI171" s="50"/>
      <c r="EJ171" s="50"/>
      <c r="EK171" s="50"/>
      <c r="EL171" s="50"/>
      <c r="EM171" s="50"/>
      <c r="EN171" s="50"/>
      <c r="EO171" s="50"/>
      <c r="EP171" s="50"/>
      <c r="EQ171" s="50"/>
      <c r="ER171" s="50"/>
      <c r="ES171" s="50"/>
      <c r="ET171" s="50"/>
      <c r="EU171" s="50"/>
      <c r="EV171" s="50"/>
      <c r="EW171" s="50"/>
      <c r="EX171" s="50"/>
      <c r="EY171" s="50"/>
      <c r="EZ171" s="50"/>
      <c r="FA171" s="50"/>
      <c r="FB171" s="50"/>
      <c r="FC171" s="50"/>
      <c r="FD171" s="50"/>
      <c r="FE171" s="50"/>
      <c r="FF171" s="50"/>
      <c r="FG171" s="50"/>
      <c r="FH171" s="50"/>
      <c r="FI171" s="50"/>
      <c r="FJ171" s="50"/>
      <c r="FK171" s="50"/>
      <c r="FL171" s="50"/>
      <c r="FM171" s="50"/>
      <c r="FN171" s="50"/>
      <c r="FO171" s="50"/>
      <c r="FP171" s="50"/>
      <c r="FQ171" s="50"/>
      <c r="FR171" s="50"/>
      <c r="FS171" s="50"/>
      <c r="FT171" s="50"/>
      <c r="FU171" s="50"/>
      <c r="FV171" s="50"/>
      <c r="FW171" s="50"/>
      <c r="FX171" s="50"/>
      <c r="FY171" s="50"/>
      <c r="FZ171" s="50"/>
      <c r="GA171" s="50"/>
      <c r="GB171" s="50"/>
      <c r="GC171" s="50"/>
      <c r="GD171" s="50"/>
      <c r="GE171" s="50"/>
      <c r="GF171" s="50"/>
      <c r="GG171" s="50"/>
      <c r="GH171" s="50"/>
      <c r="GI171" s="50"/>
      <c r="GJ171" s="50"/>
      <c r="GK171" s="50"/>
      <c r="GL171" s="50"/>
      <c r="GM171" s="50"/>
      <c r="GN171" s="50"/>
      <c r="GO171" s="50"/>
      <c r="GP171" s="50"/>
      <c r="GQ171" s="50"/>
      <c r="GR171" s="50"/>
      <c r="GS171" s="50"/>
      <c r="GT171" s="50"/>
      <c r="GU171" s="50"/>
      <c r="GV171" s="50"/>
      <c r="GW171" s="50"/>
      <c r="GX171" s="50"/>
      <c r="GY171" s="50"/>
      <c r="GZ171" s="50"/>
      <c r="HA171" s="50"/>
    </row>
    <row r="172" s="51" customFormat="1" spans="1:209">
      <c r="A172" s="50"/>
      <c r="B172" s="50"/>
      <c r="C172" s="50"/>
      <c r="D172" s="50"/>
      <c r="E172" s="50"/>
      <c r="F172" s="50"/>
      <c r="G172" s="50"/>
      <c r="H172" s="60" t="s">
        <v>270</v>
      </c>
      <c r="I172" s="60" t="s">
        <v>420</v>
      </c>
      <c r="J172" s="59">
        <v>7004</v>
      </c>
      <c r="K172" s="59">
        <v>39671</v>
      </c>
      <c r="L172" s="59">
        <v>215978</v>
      </c>
      <c r="M172" s="59">
        <v>4747</v>
      </c>
      <c r="N172" s="59">
        <v>267400</v>
      </c>
      <c r="O172" s="63"/>
      <c r="P172" s="63">
        <f t="shared" si="5"/>
        <v>-267400</v>
      </c>
      <c r="Q172" s="50"/>
      <c r="R172" s="50"/>
      <c r="S172" s="69" t="s">
        <v>270</v>
      </c>
      <c r="T172" s="50"/>
      <c r="U172" s="52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  <c r="AQ172" s="50"/>
      <c r="AR172" s="50"/>
      <c r="AS172" s="50"/>
      <c r="AT172" s="50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50"/>
      <c r="BG172" s="50"/>
      <c r="BH172" s="50"/>
      <c r="BI172" s="50"/>
      <c r="BJ172" s="50"/>
      <c r="BK172" s="50"/>
      <c r="BL172" s="50"/>
      <c r="BM172" s="50"/>
      <c r="BN172" s="50"/>
      <c r="BO172" s="50"/>
      <c r="BP172" s="50"/>
      <c r="BQ172" s="50"/>
      <c r="BR172" s="50"/>
      <c r="BS172" s="50"/>
      <c r="BT172" s="50"/>
      <c r="BU172" s="50"/>
      <c r="BV172" s="50"/>
      <c r="BW172" s="50"/>
      <c r="BX172" s="50"/>
      <c r="BY172" s="50"/>
      <c r="BZ172" s="50"/>
      <c r="CA172" s="50"/>
      <c r="CB172" s="50"/>
      <c r="CC172" s="50"/>
      <c r="CD172" s="50"/>
      <c r="CE172" s="50"/>
      <c r="CF172" s="50"/>
      <c r="CG172" s="50"/>
      <c r="CH172" s="50"/>
      <c r="CI172" s="50"/>
      <c r="CJ172" s="50"/>
      <c r="CK172" s="50"/>
      <c r="CL172" s="50"/>
      <c r="CM172" s="50"/>
      <c r="CN172" s="50"/>
      <c r="CO172" s="50"/>
      <c r="CP172" s="50"/>
      <c r="CQ172" s="50"/>
      <c r="CR172" s="50"/>
      <c r="CS172" s="50"/>
      <c r="CT172" s="50"/>
      <c r="CU172" s="50"/>
      <c r="CV172" s="50"/>
      <c r="CW172" s="50"/>
      <c r="CX172" s="50"/>
      <c r="CY172" s="50"/>
      <c r="CZ172" s="50"/>
      <c r="DA172" s="50"/>
      <c r="DB172" s="50"/>
      <c r="DC172" s="50"/>
      <c r="DD172" s="50"/>
      <c r="DE172" s="50"/>
      <c r="DF172" s="50"/>
      <c r="DG172" s="50"/>
      <c r="DH172" s="50"/>
      <c r="DI172" s="50"/>
      <c r="DJ172" s="50"/>
      <c r="DK172" s="50"/>
      <c r="DL172" s="50"/>
      <c r="DM172" s="50"/>
      <c r="DN172" s="50"/>
      <c r="DO172" s="50"/>
      <c r="DP172" s="50"/>
      <c r="DQ172" s="50"/>
      <c r="DR172" s="50"/>
      <c r="DS172" s="50"/>
      <c r="DT172" s="50"/>
      <c r="DU172" s="50"/>
      <c r="DV172" s="50"/>
      <c r="DW172" s="50"/>
      <c r="DX172" s="50"/>
      <c r="DY172" s="50"/>
      <c r="DZ172" s="50"/>
      <c r="EA172" s="50"/>
      <c r="EB172" s="50"/>
      <c r="EC172" s="50"/>
      <c r="ED172" s="50"/>
      <c r="EE172" s="50"/>
      <c r="EF172" s="50"/>
      <c r="EG172" s="50"/>
      <c r="EH172" s="50"/>
      <c r="EI172" s="50"/>
      <c r="EJ172" s="50"/>
      <c r="EK172" s="50"/>
      <c r="EL172" s="50"/>
      <c r="EM172" s="50"/>
      <c r="EN172" s="50"/>
      <c r="EO172" s="50"/>
      <c r="EP172" s="50"/>
      <c r="EQ172" s="50"/>
      <c r="ER172" s="50"/>
      <c r="ES172" s="50"/>
      <c r="ET172" s="50"/>
      <c r="EU172" s="50"/>
      <c r="EV172" s="50"/>
      <c r="EW172" s="50"/>
      <c r="EX172" s="50"/>
      <c r="EY172" s="50"/>
      <c r="EZ172" s="50"/>
      <c r="FA172" s="50"/>
      <c r="FB172" s="50"/>
      <c r="FC172" s="50"/>
      <c r="FD172" s="50"/>
      <c r="FE172" s="50"/>
      <c r="FF172" s="50"/>
      <c r="FG172" s="50"/>
      <c r="FH172" s="50"/>
      <c r="FI172" s="50"/>
      <c r="FJ172" s="50"/>
      <c r="FK172" s="50"/>
      <c r="FL172" s="50"/>
      <c r="FM172" s="50"/>
      <c r="FN172" s="50"/>
      <c r="FO172" s="50"/>
      <c r="FP172" s="50"/>
      <c r="FQ172" s="50"/>
      <c r="FR172" s="50"/>
      <c r="FS172" s="50"/>
      <c r="FT172" s="50"/>
      <c r="FU172" s="50"/>
      <c r="FV172" s="50"/>
      <c r="FW172" s="50"/>
      <c r="FX172" s="50"/>
      <c r="FY172" s="50"/>
      <c r="FZ172" s="50"/>
      <c r="GA172" s="50"/>
      <c r="GB172" s="50"/>
      <c r="GC172" s="50"/>
      <c r="GD172" s="50"/>
      <c r="GE172" s="50"/>
      <c r="GF172" s="50"/>
      <c r="GG172" s="50"/>
      <c r="GH172" s="50"/>
      <c r="GI172" s="50"/>
      <c r="GJ172" s="50"/>
      <c r="GK172" s="50"/>
      <c r="GL172" s="50"/>
      <c r="GM172" s="50"/>
      <c r="GN172" s="50"/>
      <c r="GO172" s="50"/>
      <c r="GP172" s="50"/>
      <c r="GQ172" s="50"/>
      <c r="GR172" s="50"/>
      <c r="GS172" s="50"/>
      <c r="GT172" s="50"/>
      <c r="GU172" s="50"/>
      <c r="GV172" s="50"/>
      <c r="GW172" s="50"/>
      <c r="GX172" s="50"/>
      <c r="GY172" s="50"/>
      <c r="GZ172" s="50"/>
      <c r="HA172" s="50"/>
    </row>
    <row r="173" s="51" customFormat="1" spans="1:209">
      <c r="A173" s="50"/>
      <c r="B173" s="50"/>
      <c r="C173" s="50"/>
      <c r="D173" s="50"/>
      <c r="E173" s="50"/>
      <c r="F173" s="50"/>
      <c r="G173" s="50"/>
      <c r="H173" s="60" t="s">
        <v>270</v>
      </c>
      <c r="I173" s="60" t="s">
        <v>421</v>
      </c>
      <c r="J173" s="59">
        <v>7001</v>
      </c>
      <c r="K173" s="59">
        <v>32422</v>
      </c>
      <c r="L173" s="59">
        <v>163490</v>
      </c>
      <c r="M173" s="59">
        <v>2257</v>
      </c>
      <c r="N173" s="59">
        <v>205170</v>
      </c>
      <c r="O173" s="63"/>
      <c r="P173" s="63">
        <f t="shared" si="5"/>
        <v>-205170</v>
      </c>
      <c r="Q173" s="50"/>
      <c r="R173" s="50"/>
      <c r="S173" s="69" t="s">
        <v>270</v>
      </c>
      <c r="T173" s="50"/>
      <c r="U173" s="52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  <c r="AQ173" s="50"/>
      <c r="AR173" s="50"/>
      <c r="AS173" s="50"/>
      <c r="AT173" s="50"/>
      <c r="AU173" s="50"/>
      <c r="AV173" s="50"/>
      <c r="AW173" s="50"/>
      <c r="AX173" s="50"/>
      <c r="AY173" s="50"/>
      <c r="AZ173" s="50"/>
      <c r="BA173" s="50"/>
      <c r="BB173" s="50"/>
      <c r="BC173" s="50"/>
      <c r="BD173" s="50"/>
      <c r="BE173" s="50"/>
      <c r="BF173" s="50"/>
      <c r="BG173" s="50"/>
      <c r="BH173" s="50"/>
      <c r="BI173" s="50"/>
      <c r="BJ173" s="50"/>
      <c r="BK173" s="50"/>
      <c r="BL173" s="50"/>
      <c r="BM173" s="50"/>
      <c r="BN173" s="50"/>
      <c r="BO173" s="50"/>
      <c r="BP173" s="50"/>
      <c r="BQ173" s="50"/>
      <c r="BR173" s="50"/>
      <c r="BS173" s="50"/>
      <c r="BT173" s="50"/>
      <c r="BU173" s="50"/>
      <c r="BV173" s="50"/>
      <c r="BW173" s="50"/>
      <c r="BX173" s="50"/>
      <c r="BY173" s="50"/>
      <c r="BZ173" s="50"/>
      <c r="CA173" s="50"/>
      <c r="CB173" s="50"/>
      <c r="CC173" s="50"/>
      <c r="CD173" s="50"/>
      <c r="CE173" s="50"/>
      <c r="CF173" s="50"/>
      <c r="CG173" s="50"/>
      <c r="CH173" s="50"/>
      <c r="CI173" s="50"/>
      <c r="CJ173" s="50"/>
      <c r="CK173" s="50"/>
      <c r="CL173" s="50"/>
      <c r="CM173" s="50"/>
      <c r="CN173" s="50"/>
      <c r="CO173" s="50"/>
      <c r="CP173" s="50"/>
      <c r="CQ173" s="50"/>
      <c r="CR173" s="50"/>
      <c r="CS173" s="50"/>
      <c r="CT173" s="50"/>
      <c r="CU173" s="50"/>
      <c r="CV173" s="50"/>
      <c r="CW173" s="50"/>
      <c r="CX173" s="50"/>
      <c r="CY173" s="50"/>
      <c r="CZ173" s="50"/>
      <c r="DA173" s="50"/>
      <c r="DB173" s="50"/>
      <c r="DC173" s="50"/>
      <c r="DD173" s="50"/>
      <c r="DE173" s="50"/>
      <c r="DF173" s="50"/>
      <c r="DG173" s="50"/>
      <c r="DH173" s="50"/>
      <c r="DI173" s="50"/>
      <c r="DJ173" s="50"/>
      <c r="DK173" s="50"/>
      <c r="DL173" s="50"/>
      <c r="DM173" s="50"/>
      <c r="DN173" s="50"/>
      <c r="DO173" s="50"/>
      <c r="DP173" s="50"/>
      <c r="DQ173" s="50"/>
      <c r="DR173" s="50"/>
      <c r="DS173" s="50"/>
      <c r="DT173" s="50"/>
      <c r="DU173" s="50"/>
      <c r="DV173" s="50"/>
      <c r="DW173" s="50"/>
      <c r="DX173" s="50"/>
      <c r="DY173" s="50"/>
      <c r="DZ173" s="50"/>
      <c r="EA173" s="50"/>
      <c r="EB173" s="50"/>
      <c r="EC173" s="50"/>
      <c r="ED173" s="50"/>
      <c r="EE173" s="50"/>
      <c r="EF173" s="50"/>
      <c r="EG173" s="50"/>
      <c r="EH173" s="50"/>
      <c r="EI173" s="50"/>
      <c r="EJ173" s="50"/>
      <c r="EK173" s="50"/>
      <c r="EL173" s="50"/>
      <c r="EM173" s="50"/>
      <c r="EN173" s="50"/>
      <c r="EO173" s="50"/>
      <c r="EP173" s="50"/>
      <c r="EQ173" s="50"/>
      <c r="ER173" s="50"/>
      <c r="ES173" s="50"/>
      <c r="ET173" s="50"/>
      <c r="EU173" s="50"/>
      <c r="EV173" s="50"/>
      <c r="EW173" s="50"/>
      <c r="EX173" s="50"/>
      <c r="EY173" s="50"/>
      <c r="EZ173" s="50"/>
      <c r="FA173" s="50"/>
      <c r="FB173" s="50"/>
      <c r="FC173" s="50"/>
      <c r="FD173" s="50"/>
      <c r="FE173" s="50"/>
      <c r="FF173" s="50"/>
      <c r="FG173" s="50"/>
      <c r="FH173" s="50"/>
      <c r="FI173" s="50"/>
      <c r="FJ173" s="50"/>
      <c r="FK173" s="50"/>
      <c r="FL173" s="50"/>
      <c r="FM173" s="50"/>
      <c r="FN173" s="50"/>
      <c r="FO173" s="50"/>
      <c r="FP173" s="50"/>
      <c r="FQ173" s="50"/>
      <c r="FR173" s="50"/>
      <c r="FS173" s="50"/>
      <c r="FT173" s="50"/>
      <c r="FU173" s="50"/>
      <c r="FV173" s="50"/>
      <c r="FW173" s="50"/>
      <c r="FX173" s="50"/>
      <c r="FY173" s="50"/>
      <c r="FZ173" s="50"/>
      <c r="GA173" s="50"/>
      <c r="GB173" s="50"/>
      <c r="GC173" s="50"/>
      <c r="GD173" s="50"/>
      <c r="GE173" s="50"/>
      <c r="GF173" s="50"/>
      <c r="GG173" s="50"/>
      <c r="GH173" s="50"/>
      <c r="GI173" s="50"/>
      <c r="GJ173" s="50"/>
      <c r="GK173" s="50"/>
      <c r="GL173" s="50"/>
      <c r="GM173" s="50"/>
      <c r="GN173" s="50"/>
      <c r="GO173" s="50"/>
      <c r="GP173" s="50"/>
      <c r="GQ173" s="50"/>
      <c r="GR173" s="50"/>
      <c r="GS173" s="50"/>
      <c r="GT173" s="50"/>
      <c r="GU173" s="50"/>
      <c r="GV173" s="50"/>
      <c r="GW173" s="50"/>
      <c r="GX173" s="50"/>
      <c r="GY173" s="50"/>
      <c r="GZ173" s="50"/>
      <c r="HA173" s="50"/>
    </row>
    <row r="174" s="51" customFormat="1" spans="1:209">
      <c r="A174" s="50"/>
      <c r="B174" s="50"/>
      <c r="C174" s="50"/>
      <c r="D174" s="50"/>
      <c r="E174" s="50"/>
      <c r="F174" s="50"/>
      <c r="G174" s="50"/>
      <c r="H174" s="60" t="s">
        <v>270</v>
      </c>
      <c r="I174" s="60" t="s">
        <v>422</v>
      </c>
      <c r="J174" s="59">
        <v>10733</v>
      </c>
      <c r="K174" s="59">
        <v>59382</v>
      </c>
      <c r="L174" s="59">
        <v>234021</v>
      </c>
      <c r="M174" s="59">
        <v>1684</v>
      </c>
      <c r="N174" s="59">
        <v>305820</v>
      </c>
      <c r="O174" s="63"/>
      <c r="P174" s="63">
        <f t="shared" si="5"/>
        <v>-305820</v>
      </c>
      <c r="Q174" s="50"/>
      <c r="R174" s="50"/>
      <c r="S174" s="69" t="s">
        <v>270</v>
      </c>
      <c r="T174" s="50"/>
      <c r="U174" s="52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  <c r="BV174" s="50"/>
      <c r="BW174" s="50"/>
      <c r="BX174" s="50"/>
      <c r="BY174" s="50"/>
      <c r="BZ174" s="50"/>
      <c r="CA174" s="50"/>
      <c r="CB174" s="50"/>
      <c r="CC174" s="50"/>
      <c r="CD174" s="50"/>
      <c r="CE174" s="50"/>
      <c r="CF174" s="50"/>
      <c r="CG174" s="50"/>
      <c r="CH174" s="50"/>
      <c r="CI174" s="50"/>
      <c r="CJ174" s="50"/>
      <c r="CK174" s="50"/>
      <c r="CL174" s="50"/>
      <c r="CM174" s="50"/>
      <c r="CN174" s="50"/>
      <c r="CO174" s="50"/>
      <c r="CP174" s="50"/>
      <c r="CQ174" s="50"/>
      <c r="CR174" s="50"/>
      <c r="CS174" s="50"/>
      <c r="CT174" s="50"/>
      <c r="CU174" s="50"/>
      <c r="CV174" s="50"/>
      <c r="CW174" s="50"/>
      <c r="CX174" s="50"/>
      <c r="CY174" s="50"/>
      <c r="CZ174" s="50"/>
      <c r="DA174" s="50"/>
      <c r="DB174" s="50"/>
      <c r="DC174" s="50"/>
      <c r="DD174" s="50"/>
      <c r="DE174" s="50"/>
      <c r="DF174" s="50"/>
      <c r="DG174" s="50"/>
      <c r="DH174" s="50"/>
      <c r="DI174" s="50"/>
      <c r="DJ174" s="50"/>
      <c r="DK174" s="50"/>
      <c r="DL174" s="50"/>
      <c r="DM174" s="50"/>
      <c r="DN174" s="50"/>
      <c r="DO174" s="50"/>
      <c r="DP174" s="50"/>
      <c r="DQ174" s="50"/>
      <c r="DR174" s="50"/>
      <c r="DS174" s="50"/>
      <c r="DT174" s="50"/>
      <c r="DU174" s="50"/>
      <c r="DV174" s="50"/>
      <c r="DW174" s="50"/>
      <c r="DX174" s="50"/>
      <c r="DY174" s="50"/>
      <c r="DZ174" s="50"/>
      <c r="EA174" s="50"/>
      <c r="EB174" s="50"/>
      <c r="EC174" s="50"/>
      <c r="ED174" s="50"/>
      <c r="EE174" s="50"/>
      <c r="EF174" s="50"/>
      <c r="EG174" s="50"/>
      <c r="EH174" s="50"/>
      <c r="EI174" s="50"/>
      <c r="EJ174" s="50"/>
      <c r="EK174" s="50"/>
      <c r="EL174" s="50"/>
      <c r="EM174" s="50"/>
      <c r="EN174" s="50"/>
      <c r="EO174" s="50"/>
      <c r="EP174" s="50"/>
      <c r="EQ174" s="50"/>
      <c r="ER174" s="50"/>
      <c r="ES174" s="50"/>
      <c r="ET174" s="50"/>
      <c r="EU174" s="50"/>
      <c r="EV174" s="50"/>
      <c r="EW174" s="50"/>
      <c r="EX174" s="50"/>
      <c r="EY174" s="50"/>
      <c r="EZ174" s="50"/>
      <c r="FA174" s="50"/>
      <c r="FB174" s="50"/>
      <c r="FC174" s="50"/>
      <c r="FD174" s="50"/>
      <c r="FE174" s="50"/>
      <c r="FF174" s="50"/>
      <c r="FG174" s="50"/>
      <c r="FH174" s="50"/>
      <c r="FI174" s="50"/>
      <c r="FJ174" s="50"/>
      <c r="FK174" s="50"/>
      <c r="FL174" s="50"/>
      <c r="FM174" s="50"/>
      <c r="FN174" s="50"/>
      <c r="FO174" s="50"/>
      <c r="FP174" s="50"/>
      <c r="FQ174" s="50"/>
      <c r="FR174" s="50"/>
      <c r="FS174" s="50"/>
      <c r="FT174" s="50"/>
      <c r="FU174" s="50"/>
      <c r="FV174" s="50"/>
      <c r="FW174" s="50"/>
      <c r="FX174" s="50"/>
      <c r="FY174" s="50"/>
      <c r="FZ174" s="50"/>
      <c r="GA174" s="50"/>
      <c r="GB174" s="50"/>
      <c r="GC174" s="50"/>
      <c r="GD174" s="50"/>
      <c r="GE174" s="50"/>
      <c r="GF174" s="50"/>
      <c r="GG174" s="50"/>
      <c r="GH174" s="50"/>
      <c r="GI174" s="50"/>
      <c r="GJ174" s="50"/>
      <c r="GK174" s="50"/>
      <c r="GL174" s="50"/>
      <c r="GM174" s="50"/>
      <c r="GN174" s="50"/>
      <c r="GO174" s="50"/>
      <c r="GP174" s="50"/>
      <c r="GQ174" s="50"/>
      <c r="GR174" s="50"/>
      <c r="GS174" s="50"/>
      <c r="GT174" s="50"/>
      <c r="GU174" s="50"/>
      <c r="GV174" s="50"/>
      <c r="GW174" s="50"/>
      <c r="GX174" s="50"/>
      <c r="GY174" s="50"/>
      <c r="GZ174" s="50"/>
      <c r="HA174" s="50"/>
    </row>
    <row r="175" s="51" customFormat="1" spans="1:209">
      <c r="A175" s="50"/>
      <c r="B175" s="50"/>
      <c r="C175" s="50"/>
      <c r="D175" s="50"/>
      <c r="E175" s="50"/>
      <c r="F175" s="50"/>
      <c r="G175" s="50"/>
      <c r="H175" s="60" t="s">
        <v>270</v>
      </c>
      <c r="I175" s="60" t="s">
        <v>423</v>
      </c>
      <c r="J175" s="59">
        <v>6809</v>
      </c>
      <c r="K175" s="59">
        <v>39542</v>
      </c>
      <c r="L175" s="59">
        <v>220146</v>
      </c>
      <c r="M175" s="59">
        <v>594</v>
      </c>
      <c r="N175" s="59">
        <v>267091</v>
      </c>
      <c r="O175" s="63"/>
      <c r="P175" s="63">
        <f t="shared" si="5"/>
        <v>-267091</v>
      </c>
      <c r="Q175" s="50"/>
      <c r="R175" s="50"/>
      <c r="S175" s="69" t="s">
        <v>270</v>
      </c>
      <c r="T175" s="50"/>
      <c r="U175" s="52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  <c r="BV175" s="50"/>
      <c r="BW175" s="50"/>
      <c r="BX175" s="50"/>
      <c r="BY175" s="50"/>
      <c r="BZ175" s="50"/>
      <c r="CA175" s="50"/>
      <c r="CB175" s="50"/>
      <c r="CC175" s="50"/>
      <c r="CD175" s="50"/>
      <c r="CE175" s="50"/>
      <c r="CF175" s="50"/>
      <c r="CG175" s="50"/>
      <c r="CH175" s="50"/>
      <c r="CI175" s="50"/>
      <c r="CJ175" s="50"/>
      <c r="CK175" s="50"/>
      <c r="CL175" s="50"/>
      <c r="CM175" s="50"/>
      <c r="CN175" s="50"/>
      <c r="CO175" s="50"/>
      <c r="CP175" s="50"/>
      <c r="CQ175" s="50"/>
      <c r="CR175" s="50"/>
      <c r="CS175" s="50"/>
      <c r="CT175" s="50"/>
      <c r="CU175" s="50"/>
      <c r="CV175" s="50"/>
      <c r="CW175" s="50"/>
      <c r="CX175" s="50"/>
      <c r="CY175" s="50"/>
      <c r="CZ175" s="50"/>
      <c r="DA175" s="50"/>
      <c r="DB175" s="50"/>
      <c r="DC175" s="50"/>
      <c r="DD175" s="50"/>
      <c r="DE175" s="50"/>
      <c r="DF175" s="50"/>
      <c r="DG175" s="50"/>
      <c r="DH175" s="50"/>
      <c r="DI175" s="50"/>
      <c r="DJ175" s="50"/>
      <c r="DK175" s="50"/>
      <c r="DL175" s="50"/>
      <c r="DM175" s="50"/>
      <c r="DN175" s="50"/>
      <c r="DO175" s="50"/>
      <c r="DP175" s="50"/>
      <c r="DQ175" s="50"/>
      <c r="DR175" s="50"/>
      <c r="DS175" s="50"/>
      <c r="DT175" s="50"/>
      <c r="DU175" s="50"/>
      <c r="DV175" s="50"/>
      <c r="DW175" s="50"/>
      <c r="DX175" s="50"/>
      <c r="DY175" s="50"/>
      <c r="DZ175" s="50"/>
      <c r="EA175" s="50"/>
      <c r="EB175" s="50"/>
      <c r="EC175" s="50"/>
      <c r="ED175" s="50"/>
      <c r="EE175" s="50"/>
      <c r="EF175" s="50"/>
      <c r="EG175" s="50"/>
      <c r="EH175" s="50"/>
      <c r="EI175" s="50"/>
      <c r="EJ175" s="50"/>
      <c r="EK175" s="50"/>
      <c r="EL175" s="50"/>
      <c r="EM175" s="50"/>
      <c r="EN175" s="50"/>
      <c r="EO175" s="50"/>
      <c r="EP175" s="50"/>
      <c r="EQ175" s="50"/>
      <c r="ER175" s="50"/>
      <c r="ES175" s="50"/>
      <c r="ET175" s="50"/>
      <c r="EU175" s="50"/>
      <c r="EV175" s="50"/>
      <c r="EW175" s="50"/>
      <c r="EX175" s="50"/>
      <c r="EY175" s="50"/>
      <c r="EZ175" s="50"/>
      <c r="FA175" s="50"/>
      <c r="FB175" s="50"/>
      <c r="FC175" s="50"/>
      <c r="FD175" s="50"/>
      <c r="FE175" s="50"/>
      <c r="FF175" s="50"/>
      <c r="FG175" s="50"/>
      <c r="FH175" s="50"/>
      <c r="FI175" s="50"/>
      <c r="FJ175" s="50"/>
      <c r="FK175" s="50"/>
      <c r="FL175" s="50"/>
      <c r="FM175" s="50"/>
      <c r="FN175" s="50"/>
      <c r="FO175" s="50"/>
      <c r="FP175" s="50"/>
      <c r="FQ175" s="50"/>
      <c r="FR175" s="50"/>
      <c r="FS175" s="50"/>
      <c r="FT175" s="50"/>
      <c r="FU175" s="50"/>
      <c r="FV175" s="50"/>
      <c r="FW175" s="50"/>
      <c r="FX175" s="50"/>
      <c r="FY175" s="50"/>
      <c r="FZ175" s="50"/>
      <c r="GA175" s="50"/>
      <c r="GB175" s="50"/>
      <c r="GC175" s="50"/>
      <c r="GD175" s="50"/>
      <c r="GE175" s="50"/>
      <c r="GF175" s="50"/>
      <c r="GG175" s="50"/>
      <c r="GH175" s="50"/>
      <c r="GI175" s="50"/>
      <c r="GJ175" s="50"/>
      <c r="GK175" s="50"/>
      <c r="GL175" s="50"/>
      <c r="GM175" s="50"/>
      <c r="GN175" s="50"/>
      <c r="GO175" s="50"/>
      <c r="GP175" s="50"/>
      <c r="GQ175" s="50"/>
      <c r="GR175" s="50"/>
      <c r="GS175" s="50"/>
      <c r="GT175" s="50"/>
      <c r="GU175" s="50"/>
      <c r="GV175" s="50"/>
      <c r="GW175" s="50"/>
      <c r="GX175" s="50"/>
      <c r="GY175" s="50"/>
      <c r="GZ175" s="50"/>
      <c r="HA175" s="50"/>
    </row>
    <row r="176" s="51" customFormat="1" spans="1:209">
      <c r="A176" s="50"/>
      <c r="B176" s="50"/>
      <c r="C176" s="50"/>
      <c r="D176" s="50"/>
      <c r="E176" s="50"/>
      <c r="F176" s="50"/>
      <c r="G176" s="50"/>
      <c r="H176" s="60" t="s">
        <v>270</v>
      </c>
      <c r="I176" s="60" t="s">
        <v>424</v>
      </c>
      <c r="J176" s="59">
        <v>7182</v>
      </c>
      <c r="K176" s="59">
        <v>36713</v>
      </c>
      <c r="L176" s="59">
        <v>146392</v>
      </c>
      <c r="M176" s="59">
        <v>793</v>
      </c>
      <c r="N176" s="59">
        <v>191080</v>
      </c>
      <c r="O176" s="63"/>
      <c r="P176" s="63">
        <f t="shared" si="5"/>
        <v>-191080</v>
      </c>
      <c r="Q176" s="50"/>
      <c r="R176" s="50"/>
      <c r="S176" s="69" t="s">
        <v>270</v>
      </c>
      <c r="T176" s="50"/>
      <c r="U176" s="52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  <c r="BV176" s="50"/>
      <c r="BW176" s="50"/>
      <c r="BX176" s="50"/>
      <c r="BY176" s="50"/>
      <c r="BZ176" s="50"/>
      <c r="CA176" s="50"/>
      <c r="CB176" s="50"/>
      <c r="CC176" s="50"/>
      <c r="CD176" s="50"/>
      <c r="CE176" s="50"/>
      <c r="CF176" s="50"/>
      <c r="CG176" s="50"/>
      <c r="CH176" s="50"/>
      <c r="CI176" s="50"/>
      <c r="CJ176" s="50"/>
      <c r="CK176" s="50"/>
      <c r="CL176" s="50"/>
      <c r="CM176" s="50"/>
      <c r="CN176" s="50"/>
      <c r="CO176" s="50"/>
      <c r="CP176" s="50"/>
      <c r="CQ176" s="50"/>
      <c r="CR176" s="50"/>
      <c r="CS176" s="50"/>
      <c r="CT176" s="50"/>
      <c r="CU176" s="50"/>
      <c r="CV176" s="50"/>
      <c r="CW176" s="50"/>
      <c r="CX176" s="50"/>
      <c r="CY176" s="50"/>
      <c r="CZ176" s="50"/>
      <c r="DA176" s="50"/>
      <c r="DB176" s="50"/>
      <c r="DC176" s="50"/>
      <c r="DD176" s="50"/>
      <c r="DE176" s="50"/>
      <c r="DF176" s="50"/>
      <c r="DG176" s="50"/>
      <c r="DH176" s="50"/>
      <c r="DI176" s="50"/>
      <c r="DJ176" s="50"/>
      <c r="DK176" s="50"/>
      <c r="DL176" s="50"/>
      <c r="DM176" s="50"/>
      <c r="DN176" s="50"/>
      <c r="DO176" s="50"/>
      <c r="DP176" s="50"/>
      <c r="DQ176" s="50"/>
      <c r="DR176" s="50"/>
      <c r="DS176" s="50"/>
      <c r="DT176" s="50"/>
      <c r="DU176" s="50"/>
      <c r="DV176" s="50"/>
      <c r="DW176" s="50"/>
      <c r="DX176" s="50"/>
      <c r="DY176" s="50"/>
      <c r="DZ176" s="50"/>
      <c r="EA176" s="50"/>
      <c r="EB176" s="50"/>
      <c r="EC176" s="50"/>
      <c r="ED176" s="50"/>
      <c r="EE176" s="50"/>
      <c r="EF176" s="50"/>
      <c r="EG176" s="50"/>
      <c r="EH176" s="50"/>
      <c r="EI176" s="50"/>
      <c r="EJ176" s="50"/>
      <c r="EK176" s="50"/>
      <c r="EL176" s="50"/>
      <c r="EM176" s="50"/>
      <c r="EN176" s="50"/>
      <c r="EO176" s="50"/>
      <c r="EP176" s="50"/>
      <c r="EQ176" s="50"/>
      <c r="ER176" s="50"/>
      <c r="ES176" s="50"/>
      <c r="ET176" s="50"/>
      <c r="EU176" s="50"/>
      <c r="EV176" s="50"/>
      <c r="EW176" s="50"/>
      <c r="EX176" s="50"/>
      <c r="EY176" s="50"/>
      <c r="EZ176" s="50"/>
      <c r="FA176" s="50"/>
      <c r="FB176" s="50"/>
      <c r="FC176" s="50"/>
      <c r="FD176" s="50"/>
      <c r="FE176" s="50"/>
      <c r="FF176" s="50"/>
      <c r="FG176" s="50"/>
      <c r="FH176" s="50"/>
      <c r="FI176" s="50"/>
      <c r="FJ176" s="50"/>
      <c r="FK176" s="50"/>
      <c r="FL176" s="50"/>
      <c r="FM176" s="50"/>
      <c r="FN176" s="50"/>
      <c r="FO176" s="50"/>
      <c r="FP176" s="50"/>
      <c r="FQ176" s="50"/>
      <c r="FR176" s="50"/>
      <c r="FS176" s="50"/>
      <c r="FT176" s="50"/>
      <c r="FU176" s="50"/>
      <c r="FV176" s="50"/>
      <c r="FW176" s="50"/>
      <c r="FX176" s="50"/>
      <c r="FY176" s="50"/>
      <c r="FZ176" s="50"/>
      <c r="GA176" s="50"/>
      <c r="GB176" s="50"/>
      <c r="GC176" s="50"/>
      <c r="GD176" s="50"/>
      <c r="GE176" s="50"/>
      <c r="GF176" s="50"/>
      <c r="GG176" s="50"/>
      <c r="GH176" s="50"/>
      <c r="GI176" s="50"/>
      <c r="GJ176" s="50"/>
      <c r="GK176" s="50"/>
      <c r="GL176" s="50"/>
      <c r="GM176" s="50"/>
      <c r="GN176" s="50"/>
      <c r="GO176" s="50"/>
      <c r="GP176" s="50"/>
      <c r="GQ176" s="50"/>
      <c r="GR176" s="50"/>
      <c r="GS176" s="50"/>
      <c r="GT176" s="50"/>
      <c r="GU176" s="50"/>
      <c r="GV176" s="50"/>
      <c r="GW176" s="50"/>
      <c r="GX176" s="50"/>
      <c r="GY176" s="50"/>
      <c r="GZ176" s="50"/>
      <c r="HA176" s="50"/>
    </row>
    <row r="177" s="51" customFormat="1" spans="1:209">
      <c r="A177" s="50"/>
      <c r="B177" s="50"/>
      <c r="C177" s="50"/>
      <c r="D177" s="50"/>
      <c r="E177" s="50"/>
      <c r="F177" s="50"/>
      <c r="G177" s="50"/>
      <c r="H177" s="60" t="s">
        <v>270</v>
      </c>
      <c r="I177" s="60" t="s">
        <v>425</v>
      </c>
      <c r="J177" s="59">
        <v>5929</v>
      </c>
      <c r="K177" s="59">
        <v>41861</v>
      </c>
      <c r="L177" s="59">
        <v>181048</v>
      </c>
      <c r="M177" s="59">
        <v>1823</v>
      </c>
      <c r="N177" s="59">
        <v>230661</v>
      </c>
      <c r="O177" s="63"/>
      <c r="P177" s="63">
        <f t="shared" si="5"/>
        <v>-230661</v>
      </c>
      <c r="Q177" s="50"/>
      <c r="R177" s="50"/>
      <c r="S177" s="69" t="s">
        <v>270</v>
      </c>
      <c r="T177" s="50"/>
      <c r="U177" s="52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  <c r="BV177" s="50"/>
      <c r="BW177" s="50"/>
      <c r="BX177" s="50"/>
      <c r="BY177" s="50"/>
      <c r="BZ177" s="50"/>
      <c r="CA177" s="50"/>
      <c r="CB177" s="50"/>
      <c r="CC177" s="50"/>
      <c r="CD177" s="50"/>
      <c r="CE177" s="50"/>
      <c r="CF177" s="50"/>
      <c r="CG177" s="50"/>
      <c r="CH177" s="50"/>
      <c r="CI177" s="50"/>
      <c r="CJ177" s="50"/>
      <c r="CK177" s="50"/>
      <c r="CL177" s="50"/>
      <c r="CM177" s="50"/>
      <c r="CN177" s="50"/>
      <c r="CO177" s="50"/>
      <c r="CP177" s="50"/>
      <c r="CQ177" s="50"/>
      <c r="CR177" s="50"/>
      <c r="CS177" s="50"/>
      <c r="CT177" s="50"/>
      <c r="CU177" s="50"/>
      <c r="CV177" s="50"/>
      <c r="CW177" s="50"/>
      <c r="CX177" s="50"/>
      <c r="CY177" s="50"/>
      <c r="CZ177" s="50"/>
      <c r="DA177" s="50"/>
      <c r="DB177" s="50"/>
      <c r="DC177" s="50"/>
      <c r="DD177" s="50"/>
      <c r="DE177" s="50"/>
      <c r="DF177" s="50"/>
      <c r="DG177" s="50"/>
      <c r="DH177" s="50"/>
      <c r="DI177" s="50"/>
      <c r="DJ177" s="50"/>
      <c r="DK177" s="50"/>
      <c r="DL177" s="50"/>
      <c r="DM177" s="50"/>
      <c r="DN177" s="50"/>
      <c r="DO177" s="50"/>
      <c r="DP177" s="50"/>
      <c r="DQ177" s="50"/>
      <c r="DR177" s="50"/>
      <c r="DS177" s="50"/>
      <c r="DT177" s="50"/>
      <c r="DU177" s="50"/>
      <c r="DV177" s="50"/>
      <c r="DW177" s="50"/>
      <c r="DX177" s="50"/>
      <c r="DY177" s="50"/>
      <c r="DZ177" s="50"/>
      <c r="EA177" s="50"/>
      <c r="EB177" s="50"/>
      <c r="EC177" s="50"/>
      <c r="ED177" s="50"/>
      <c r="EE177" s="50"/>
      <c r="EF177" s="50"/>
      <c r="EG177" s="50"/>
      <c r="EH177" s="50"/>
      <c r="EI177" s="50"/>
      <c r="EJ177" s="50"/>
      <c r="EK177" s="50"/>
      <c r="EL177" s="50"/>
      <c r="EM177" s="50"/>
      <c r="EN177" s="50"/>
      <c r="EO177" s="50"/>
      <c r="EP177" s="50"/>
      <c r="EQ177" s="50"/>
      <c r="ER177" s="50"/>
      <c r="ES177" s="50"/>
      <c r="ET177" s="50"/>
      <c r="EU177" s="50"/>
      <c r="EV177" s="50"/>
      <c r="EW177" s="50"/>
      <c r="EX177" s="50"/>
      <c r="EY177" s="50"/>
      <c r="EZ177" s="50"/>
      <c r="FA177" s="50"/>
      <c r="FB177" s="50"/>
      <c r="FC177" s="50"/>
      <c r="FD177" s="50"/>
      <c r="FE177" s="50"/>
      <c r="FF177" s="50"/>
      <c r="FG177" s="50"/>
      <c r="FH177" s="50"/>
      <c r="FI177" s="50"/>
      <c r="FJ177" s="50"/>
      <c r="FK177" s="50"/>
      <c r="FL177" s="50"/>
      <c r="FM177" s="50"/>
      <c r="FN177" s="50"/>
      <c r="FO177" s="50"/>
      <c r="FP177" s="50"/>
      <c r="FQ177" s="50"/>
      <c r="FR177" s="50"/>
      <c r="FS177" s="50"/>
      <c r="FT177" s="50"/>
      <c r="FU177" s="50"/>
      <c r="FV177" s="50"/>
      <c r="FW177" s="50"/>
      <c r="FX177" s="50"/>
      <c r="FY177" s="50"/>
      <c r="FZ177" s="50"/>
      <c r="GA177" s="50"/>
      <c r="GB177" s="50"/>
      <c r="GC177" s="50"/>
      <c r="GD177" s="50"/>
      <c r="GE177" s="50"/>
      <c r="GF177" s="50"/>
      <c r="GG177" s="50"/>
      <c r="GH177" s="50"/>
      <c r="GI177" s="50"/>
      <c r="GJ177" s="50"/>
      <c r="GK177" s="50"/>
      <c r="GL177" s="50"/>
      <c r="GM177" s="50"/>
      <c r="GN177" s="50"/>
      <c r="GO177" s="50"/>
      <c r="GP177" s="50"/>
      <c r="GQ177" s="50"/>
      <c r="GR177" s="50"/>
      <c r="GS177" s="50"/>
      <c r="GT177" s="50"/>
      <c r="GU177" s="50"/>
      <c r="GV177" s="50"/>
      <c r="GW177" s="50"/>
      <c r="GX177" s="50"/>
      <c r="GY177" s="50"/>
      <c r="GZ177" s="50"/>
      <c r="HA177" s="50"/>
    </row>
    <row r="178" s="51" customFormat="1" spans="1:209">
      <c r="A178" s="50"/>
      <c r="B178" s="50"/>
      <c r="C178" s="50"/>
      <c r="D178" s="50"/>
      <c r="E178" s="50"/>
      <c r="F178" s="50"/>
      <c r="G178" s="50"/>
      <c r="H178" s="60" t="s">
        <v>270</v>
      </c>
      <c r="I178" s="60" t="s">
        <v>426</v>
      </c>
      <c r="J178" s="59">
        <v>15783</v>
      </c>
      <c r="K178" s="59">
        <v>94792</v>
      </c>
      <c r="L178" s="59">
        <v>351439</v>
      </c>
      <c r="M178" s="59">
        <v>3522</v>
      </c>
      <c r="N178" s="59">
        <v>465536</v>
      </c>
      <c r="O178" s="63"/>
      <c r="P178" s="63">
        <f t="shared" si="5"/>
        <v>-465536</v>
      </c>
      <c r="Q178" s="50"/>
      <c r="R178" s="50"/>
      <c r="S178" s="69" t="s">
        <v>270</v>
      </c>
      <c r="T178" s="50"/>
      <c r="U178" s="52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  <c r="AN178" s="50"/>
      <c r="AO178" s="50"/>
      <c r="AP178" s="50"/>
      <c r="AQ178" s="50"/>
      <c r="AR178" s="50"/>
      <c r="AS178" s="50"/>
      <c r="AT178" s="50"/>
      <c r="AU178" s="50"/>
      <c r="AV178" s="50"/>
      <c r="AW178" s="50"/>
      <c r="AX178" s="50"/>
      <c r="AY178" s="50"/>
      <c r="AZ178" s="50"/>
      <c r="BA178" s="50"/>
      <c r="BB178" s="50"/>
      <c r="BC178" s="50"/>
      <c r="BD178" s="50"/>
      <c r="BE178" s="50"/>
      <c r="BF178" s="50"/>
      <c r="BG178" s="50"/>
      <c r="BH178" s="50"/>
      <c r="BI178" s="50"/>
      <c r="BJ178" s="50"/>
      <c r="BK178" s="50"/>
      <c r="BL178" s="50"/>
      <c r="BM178" s="50"/>
      <c r="BN178" s="50"/>
      <c r="BO178" s="50"/>
      <c r="BP178" s="50"/>
      <c r="BQ178" s="50"/>
      <c r="BR178" s="50"/>
      <c r="BS178" s="50"/>
      <c r="BT178" s="50"/>
      <c r="BU178" s="50"/>
      <c r="BV178" s="50"/>
      <c r="BW178" s="50"/>
      <c r="BX178" s="50"/>
      <c r="BY178" s="50"/>
      <c r="BZ178" s="50"/>
      <c r="CA178" s="50"/>
      <c r="CB178" s="50"/>
      <c r="CC178" s="50"/>
      <c r="CD178" s="50"/>
      <c r="CE178" s="50"/>
      <c r="CF178" s="50"/>
      <c r="CG178" s="50"/>
      <c r="CH178" s="50"/>
      <c r="CI178" s="50"/>
      <c r="CJ178" s="50"/>
      <c r="CK178" s="50"/>
      <c r="CL178" s="50"/>
      <c r="CM178" s="50"/>
      <c r="CN178" s="50"/>
      <c r="CO178" s="50"/>
      <c r="CP178" s="50"/>
      <c r="CQ178" s="50"/>
      <c r="CR178" s="50"/>
      <c r="CS178" s="50"/>
      <c r="CT178" s="50"/>
      <c r="CU178" s="50"/>
      <c r="CV178" s="50"/>
      <c r="CW178" s="50"/>
      <c r="CX178" s="50"/>
      <c r="CY178" s="50"/>
      <c r="CZ178" s="50"/>
      <c r="DA178" s="50"/>
      <c r="DB178" s="50"/>
      <c r="DC178" s="50"/>
      <c r="DD178" s="50"/>
      <c r="DE178" s="50"/>
      <c r="DF178" s="50"/>
      <c r="DG178" s="50"/>
      <c r="DH178" s="50"/>
      <c r="DI178" s="50"/>
      <c r="DJ178" s="50"/>
      <c r="DK178" s="50"/>
      <c r="DL178" s="50"/>
      <c r="DM178" s="50"/>
      <c r="DN178" s="50"/>
      <c r="DO178" s="50"/>
      <c r="DP178" s="50"/>
      <c r="DQ178" s="50"/>
      <c r="DR178" s="50"/>
      <c r="DS178" s="50"/>
      <c r="DT178" s="50"/>
      <c r="DU178" s="50"/>
      <c r="DV178" s="50"/>
      <c r="DW178" s="50"/>
      <c r="DX178" s="50"/>
      <c r="DY178" s="50"/>
      <c r="DZ178" s="50"/>
      <c r="EA178" s="50"/>
      <c r="EB178" s="50"/>
      <c r="EC178" s="50"/>
      <c r="ED178" s="50"/>
      <c r="EE178" s="50"/>
      <c r="EF178" s="50"/>
      <c r="EG178" s="50"/>
      <c r="EH178" s="50"/>
      <c r="EI178" s="50"/>
      <c r="EJ178" s="50"/>
      <c r="EK178" s="50"/>
      <c r="EL178" s="50"/>
      <c r="EM178" s="50"/>
      <c r="EN178" s="50"/>
      <c r="EO178" s="50"/>
      <c r="EP178" s="50"/>
      <c r="EQ178" s="50"/>
      <c r="ER178" s="50"/>
      <c r="ES178" s="50"/>
      <c r="ET178" s="50"/>
      <c r="EU178" s="50"/>
      <c r="EV178" s="50"/>
      <c r="EW178" s="50"/>
      <c r="EX178" s="50"/>
      <c r="EY178" s="50"/>
      <c r="EZ178" s="50"/>
      <c r="FA178" s="50"/>
      <c r="FB178" s="50"/>
      <c r="FC178" s="50"/>
      <c r="FD178" s="50"/>
      <c r="FE178" s="50"/>
      <c r="FF178" s="50"/>
      <c r="FG178" s="50"/>
      <c r="FH178" s="50"/>
      <c r="FI178" s="50"/>
      <c r="FJ178" s="50"/>
      <c r="FK178" s="50"/>
      <c r="FL178" s="50"/>
      <c r="FM178" s="50"/>
      <c r="FN178" s="50"/>
      <c r="FO178" s="50"/>
      <c r="FP178" s="50"/>
      <c r="FQ178" s="50"/>
      <c r="FR178" s="50"/>
      <c r="FS178" s="50"/>
      <c r="FT178" s="50"/>
      <c r="FU178" s="50"/>
      <c r="FV178" s="50"/>
      <c r="FW178" s="50"/>
      <c r="FX178" s="50"/>
      <c r="FY178" s="50"/>
      <c r="FZ178" s="50"/>
      <c r="GA178" s="50"/>
      <c r="GB178" s="50"/>
      <c r="GC178" s="50"/>
      <c r="GD178" s="50"/>
      <c r="GE178" s="50"/>
      <c r="GF178" s="50"/>
      <c r="GG178" s="50"/>
      <c r="GH178" s="50"/>
      <c r="GI178" s="50"/>
      <c r="GJ178" s="50"/>
      <c r="GK178" s="50"/>
      <c r="GL178" s="50"/>
      <c r="GM178" s="50"/>
      <c r="GN178" s="50"/>
      <c r="GO178" s="50"/>
      <c r="GP178" s="50"/>
      <c r="GQ178" s="50"/>
      <c r="GR178" s="50"/>
      <c r="GS178" s="50"/>
      <c r="GT178" s="50"/>
      <c r="GU178" s="50"/>
      <c r="GV178" s="50"/>
      <c r="GW178" s="50"/>
      <c r="GX178" s="50"/>
      <c r="GY178" s="50"/>
      <c r="GZ178" s="50"/>
      <c r="HA178" s="50"/>
    </row>
    <row r="179" s="51" customFormat="1" spans="1:209">
      <c r="A179" s="50"/>
      <c r="B179" s="50"/>
      <c r="C179" s="50"/>
      <c r="D179" s="50"/>
      <c r="E179" s="50"/>
      <c r="F179" s="50"/>
      <c r="G179" s="50"/>
      <c r="H179" s="60" t="s">
        <v>270</v>
      </c>
      <c r="I179" s="60" t="s">
        <v>427</v>
      </c>
      <c r="J179" s="59">
        <v>27098</v>
      </c>
      <c r="K179" s="59">
        <v>148514</v>
      </c>
      <c r="L179" s="59">
        <v>490482</v>
      </c>
      <c r="M179" s="59">
        <v>2671</v>
      </c>
      <c r="N179" s="59">
        <v>668765</v>
      </c>
      <c r="O179" s="63"/>
      <c r="P179" s="63">
        <f t="shared" si="5"/>
        <v>-668765</v>
      </c>
      <c r="Q179" s="50"/>
      <c r="R179" s="50"/>
      <c r="S179" s="69" t="s">
        <v>270</v>
      </c>
      <c r="T179" s="50"/>
      <c r="U179" s="52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0"/>
      <c r="AQ179" s="50"/>
      <c r="AR179" s="50"/>
      <c r="AS179" s="50"/>
      <c r="AT179" s="50"/>
      <c r="AU179" s="50"/>
      <c r="AV179" s="50"/>
      <c r="AW179" s="50"/>
      <c r="AX179" s="50"/>
      <c r="AY179" s="50"/>
      <c r="AZ179" s="50"/>
      <c r="BA179" s="50"/>
      <c r="BB179" s="50"/>
      <c r="BC179" s="50"/>
      <c r="BD179" s="50"/>
      <c r="BE179" s="50"/>
      <c r="BF179" s="50"/>
      <c r="BG179" s="50"/>
      <c r="BH179" s="50"/>
      <c r="BI179" s="50"/>
      <c r="BJ179" s="50"/>
      <c r="BK179" s="50"/>
      <c r="BL179" s="50"/>
      <c r="BM179" s="50"/>
      <c r="BN179" s="50"/>
      <c r="BO179" s="50"/>
      <c r="BP179" s="50"/>
      <c r="BQ179" s="50"/>
      <c r="BR179" s="50"/>
      <c r="BS179" s="50"/>
      <c r="BT179" s="50"/>
      <c r="BU179" s="50"/>
      <c r="BV179" s="50"/>
      <c r="BW179" s="50"/>
      <c r="BX179" s="50"/>
      <c r="BY179" s="50"/>
      <c r="BZ179" s="50"/>
      <c r="CA179" s="50"/>
      <c r="CB179" s="50"/>
      <c r="CC179" s="50"/>
      <c r="CD179" s="50"/>
      <c r="CE179" s="50"/>
      <c r="CF179" s="50"/>
      <c r="CG179" s="50"/>
      <c r="CH179" s="50"/>
      <c r="CI179" s="50"/>
      <c r="CJ179" s="50"/>
      <c r="CK179" s="50"/>
      <c r="CL179" s="50"/>
      <c r="CM179" s="50"/>
      <c r="CN179" s="50"/>
      <c r="CO179" s="50"/>
      <c r="CP179" s="50"/>
      <c r="CQ179" s="50"/>
      <c r="CR179" s="50"/>
      <c r="CS179" s="50"/>
      <c r="CT179" s="50"/>
      <c r="CU179" s="50"/>
      <c r="CV179" s="50"/>
      <c r="CW179" s="50"/>
      <c r="CX179" s="50"/>
      <c r="CY179" s="50"/>
      <c r="CZ179" s="50"/>
      <c r="DA179" s="50"/>
      <c r="DB179" s="50"/>
      <c r="DC179" s="50"/>
      <c r="DD179" s="50"/>
      <c r="DE179" s="50"/>
      <c r="DF179" s="50"/>
      <c r="DG179" s="50"/>
      <c r="DH179" s="50"/>
      <c r="DI179" s="50"/>
      <c r="DJ179" s="50"/>
      <c r="DK179" s="50"/>
      <c r="DL179" s="50"/>
      <c r="DM179" s="50"/>
      <c r="DN179" s="50"/>
      <c r="DO179" s="50"/>
      <c r="DP179" s="50"/>
      <c r="DQ179" s="50"/>
      <c r="DR179" s="50"/>
      <c r="DS179" s="50"/>
      <c r="DT179" s="50"/>
      <c r="DU179" s="50"/>
      <c r="DV179" s="50"/>
      <c r="DW179" s="50"/>
      <c r="DX179" s="50"/>
      <c r="DY179" s="50"/>
      <c r="DZ179" s="50"/>
      <c r="EA179" s="50"/>
      <c r="EB179" s="50"/>
      <c r="EC179" s="50"/>
      <c r="ED179" s="50"/>
      <c r="EE179" s="50"/>
      <c r="EF179" s="50"/>
      <c r="EG179" s="50"/>
      <c r="EH179" s="50"/>
      <c r="EI179" s="50"/>
      <c r="EJ179" s="50"/>
      <c r="EK179" s="50"/>
      <c r="EL179" s="50"/>
      <c r="EM179" s="50"/>
      <c r="EN179" s="50"/>
      <c r="EO179" s="50"/>
      <c r="EP179" s="50"/>
      <c r="EQ179" s="50"/>
      <c r="ER179" s="50"/>
      <c r="ES179" s="50"/>
      <c r="ET179" s="50"/>
      <c r="EU179" s="50"/>
      <c r="EV179" s="50"/>
      <c r="EW179" s="50"/>
      <c r="EX179" s="50"/>
      <c r="EY179" s="50"/>
      <c r="EZ179" s="50"/>
      <c r="FA179" s="50"/>
      <c r="FB179" s="50"/>
      <c r="FC179" s="50"/>
      <c r="FD179" s="50"/>
      <c r="FE179" s="50"/>
      <c r="FF179" s="50"/>
      <c r="FG179" s="50"/>
      <c r="FH179" s="50"/>
      <c r="FI179" s="50"/>
      <c r="FJ179" s="50"/>
      <c r="FK179" s="50"/>
      <c r="FL179" s="50"/>
      <c r="FM179" s="50"/>
      <c r="FN179" s="50"/>
      <c r="FO179" s="50"/>
      <c r="FP179" s="50"/>
      <c r="FQ179" s="50"/>
      <c r="FR179" s="50"/>
      <c r="FS179" s="50"/>
      <c r="FT179" s="50"/>
      <c r="FU179" s="50"/>
      <c r="FV179" s="50"/>
      <c r="FW179" s="50"/>
      <c r="FX179" s="50"/>
      <c r="FY179" s="50"/>
      <c r="FZ179" s="50"/>
      <c r="GA179" s="50"/>
      <c r="GB179" s="50"/>
      <c r="GC179" s="50"/>
      <c r="GD179" s="50"/>
      <c r="GE179" s="50"/>
      <c r="GF179" s="50"/>
      <c r="GG179" s="50"/>
      <c r="GH179" s="50"/>
      <c r="GI179" s="50"/>
      <c r="GJ179" s="50"/>
      <c r="GK179" s="50"/>
      <c r="GL179" s="50"/>
      <c r="GM179" s="50"/>
      <c r="GN179" s="50"/>
      <c r="GO179" s="50"/>
      <c r="GP179" s="50"/>
      <c r="GQ179" s="50"/>
      <c r="GR179" s="50"/>
      <c r="GS179" s="50"/>
      <c r="GT179" s="50"/>
      <c r="GU179" s="50"/>
      <c r="GV179" s="50"/>
      <c r="GW179" s="50"/>
      <c r="GX179" s="50"/>
      <c r="GY179" s="50"/>
      <c r="GZ179" s="50"/>
      <c r="HA179" s="50"/>
    </row>
    <row r="180" s="51" customFormat="1" spans="1:209">
      <c r="A180" s="50"/>
      <c r="B180" s="50"/>
      <c r="C180" s="50"/>
      <c r="D180" s="50"/>
      <c r="E180" s="50"/>
      <c r="F180" s="50"/>
      <c r="G180" s="50"/>
      <c r="H180" s="60" t="s">
        <v>270</v>
      </c>
      <c r="I180" s="60" t="s">
        <v>428</v>
      </c>
      <c r="J180" s="59">
        <v>16356</v>
      </c>
      <c r="K180" s="59">
        <v>97237</v>
      </c>
      <c r="L180" s="59">
        <v>341326</v>
      </c>
      <c r="M180" s="59">
        <v>6416</v>
      </c>
      <c r="N180" s="59">
        <v>461335</v>
      </c>
      <c r="O180" s="63"/>
      <c r="P180" s="63">
        <f t="shared" si="5"/>
        <v>-461335</v>
      </c>
      <c r="Q180" s="50"/>
      <c r="R180" s="50"/>
      <c r="S180" s="69" t="s">
        <v>270</v>
      </c>
      <c r="T180" s="50"/>
      <c r="U180" s="52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0"/>
      <c r="AQ180" s="50"/>
      <c r="AR180" s="50"/>
      <c r="AS180" s="50"/>
      <c r="AT180" s="50"/>
      <c r="AU180" s="50"/>
      <c r="AV180" s="50"/>
      <c r="AW180" s="50"/>
      <c r="AX180" s="50"/>
      <c r="AY180" s="50"/>
      <c r="AZ180" s="50"/>
      <c r="BA180" s="50"/>
      <c r="BB180" s="50"/>
      <c r="BC180" s="50"/>
      <c r="BD180" s="50"/>
      <c r="BE180" s="50"/>
      <c r="BF180" s="50"/>
      <c r="BG180" s="50"/>
      <c r="BH180" s="50"/>
      <c r="BI180" s="50"/>
      <c r="BJ180" s="50"/>
      <c r="BK180" s="50"/>
      <c r="BL180" s="50"/>
      <c r="BM180" s="50"/>
      <c r="BN180" s="50"/>
      <c r="BO180" s="50"/>
      <c r="BP180" s="50"/>
      <c r="BQ180" s="50"/>
      <c r="BR180" s="50"/>
      <c r="BS180" s="50"/>
      <c r="BT180" s="50"/>
      <c r="BU180" s="50"/>
      <c r="BV180" s="50"/>
      <c r="BW180" s="50"/>
      <c r="BX180" s="50"/>
      <c r="BY180" s="50"/>
      <c r="BZ180" s="50"/>
      <c r="CA180" s="50"/>
      <c r="CB180" s="50"/>
      <c r="CC180" s="50"/>
      <c r="CD180" s="50"/>
      <c r="CE180" s="50"/>
      <c r="CF180" s="50"/>
      <c r="CG180" s="50"/>
      <c r="CH180" s="50"/>
      <c r="CI180" s="50"/>
      <c r="CJ180" s="50"/>
      <c r="CK180" s="50"/>
      <c r="CL180" s="50"/>
      <c r="CM180" s="50"/>
      <c r="CN180" s="50"/>
      <c r="CO180" s="50"/>
      <c r="CP180" s="50"/>
      <c r="CQ180" s="50"/>
      <c r="CR180" s="50"/>
      <c r="CS180" s="50"/>
      <c r="CT180" s="50"/>
      <c r="CU180" s="50"/>
      <c r="CV180" s="50"/>
      <c r="CW180" s="50"/>
      <c r="CX180" s="50"/>
      <c r="CY180" s="50"/>
      <c r="CZ180" s="50"/>
      <c r="DA180" s="50"/>
      <c r="DB180" s="50"/>
      <c r="DC180" s="50"/>
      <c r="DD180" s="50"/>
      <c r="DE180" s="50"/>
      <c r="DF180" s="50"/>
      <c r="DG180" s="50"/>
      <c r="DH180" s="50"/>
      <c r="DI180" s="50"/>
      <c r="DJ180" s="50"/>
      <c r="DK180" s="50"/>
      <c r="DL180" s="50"/>
      <c r="DM180" s="50"/>
      <c r="DN180" s="50"/>
      <c r="DO180" s="50"/>
      <c r="DP180" s="50"/>
      <c r="DQ180" s="50"/>
      <c r="DR180" s="50"/>
      <c r="DS180" s="50"/>
      <c r="DT180" s="50"/>
      <c r="DU180" s="50"/>
      <c r="DV180" s="50"/>
      <c r="DW180" s="50"/>
      <c r="DX180" s="50"/>
      <c r="DY180" s="50"/>
      <c r="DZ180" s="50"/>
      <c r="EA180" s="50"/>
      <c r="EB180" s="50"/>
      <c r="EC180" s="50"/>
      <c r="ED180" s="50"/>
      <c r="EE180" s="50"/>
      <c r="EF180" s="50"/>
      <c r="EG180" s="50"/>
      <c r="EH180" s="50"/>
      <c r="EI180" s="50"/>
      <c r="EJ180" s="50"/>
      <c r="EK180" s="50"/>
      <c r="EL180" s="50"/>
      <c r="EM180" s="50"/>
      <c r="EN180" s="50"/>
      <c r="EO180" s="50"/>
      <c r="EP180" s="50"/>
      <c r="EQ180" s="50"/>
      <c r="ER180" s="50"/>
      <c r="ES180" s="50"/>
      <c r="ET180" s="50"/>
      <c r="EU180" s="50"/>
      <c r="EV180" s="50"/>
      <c r="EW180" s="50"/>
      <c r="EX180" s="50"/>
      <c r="EY180" s="50"/>
      <c r="EZ180" s="50"/>
      <c r="FA180" s="50"/>
      <c r="FB180" s="50"/>
      <c r="FC180" s="50"/>
      <c r="FD180" s="50"/>
      <c r="FE180" s="50"/>
      <c r="FF180" s="50"/>
      <c r="FG180" s="50"/>
      <c r="FH180" s="50"/>
      <c r="FI180" s="50"/>
      <c r="FJ180" s="50"/>
      <c r="FK180" s="50"/>
      <c r="FL180" s="50"/>
      <c r="FM180" s="50"/>
      <c r="FN180" s="50"/>
      <c r="FO180" s="50"/>
      <c r="FP180" s="50"/>
      <c r="FQ180" s="50"/>
      <c r="FR180" s="50"/>
      <c r="FS180" s="50"/>
      <c r="FT180" s="50"/>
      <c r="FU180" s="50"/>
      <c r="FV180" s="50"/>
      <c r="FW180" s="50"/>
      <c r="FX180" s="50"/>
      <c r="FY180" s="50"/>
      <c r="FZ180" s="50"/>
      <c r="GA180" s="50"/>
      <c r="GB180" s="50"/>
      <c r="GC180" s="50"/>
      <c r="GD180" s="50"/>
      <c r="GE180" s="50"/>
      <c r="GF180" s="50"/>
      <c r="GG180" s="50"/>
      <c r="GH180" s="50"/>
      <c r="GI180" s="50"/>
      <c r="GJ180" s="50"/>
      <c r="GK180" s="50"/>
      <c r="GL180" s="50"/>
      <c r="GM180" s="50"/>
      <c r="GN180" s="50"/>
      <c r="GO180" s="50"/>
      <c r="GP180" s="50"/>
      <c r="GQ180" s="50"/>
      <c r="GR180" s="50"/>
      <c r="GS180" s="50"/>
      <c r="GT180" s="50"/>
      <c r="GU180" s="50"/>
      <c r="GV180" s="50"/>
      <c r="GW180" s="50"/>
      <c r="GX180" s="50"/>
      <c r="GY180" s="50"/>
      <c r="GZ180" s="50"/>
      <c r="HA180" s="50"/>
    </row>
    <row r="181" s="51" customFormat="1" spans="1:209">
      <c r="A181" s="50"/>
      <c r="B181" s="50"/>
      <c r="C181" s="50"/>
      <c r="D181" s="50"/>
      <c r="E181" s="50"/>
      <c r="F181" s="50"/>
      <c r="G181" s="50"/>
      <c r="H181" s="60" t="s">
        <v>270</v>
      </c>
      <c r="I181" s="60" t="s">
        <v>429</v>
      </c>
      <c r="J181" s="59">
        <v>4843</v>
      </c>
      <c r="K181" s="59">
        <v>25758</v>
      </c>
      <c r="L181" s="59">
        <v>112605</v>
      </c>
      <c r="M181" s="59">
        <v>814</v>
      </c>
      <c r="N181" s="59">
        <v>144020</v>
      </c>
      <c r="O181" s="63"/>
      <c r="P181" s="63">
        <f t="shared" si="5"/>
        <v>-144020</v>
      </c>
      <c r="Q181" s="50"/>
      <c r="R181" s="50"/>
      <c r="S181" s="69" t="s">
        <v>270</v>
      </c>
      <c r="T181" s="50"/>
      <c r="U181" s="52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0"/>
      <c r="AQ181" s="50"/>
      <c r="AR181" s="50"/>
      <c r="AS181" s="50"/>
      <c r="AT181" s="50"/>
      <c r="AU181" s="50"/>
      <c r="AV181" s="50"/>
      <c r="AW181" s="50"/>
      <c r="AX181" s="50"/>
      <c r="AY181" s="50"/>
      <c r="AZ181" s="50"/>
      <c r="BA181" s="50"/>
      <c r="BB181" s="50"/>
      <c r="BC181" s="50"/>
      <c r="BD181" s="50"/>
      <c r="BE181" s="50"/>
      <c r="BF181" s="50"/>
      <c r="BG181" s="50"/>
      <c r="BH181" s="50"/>
      <c r="BI181" s="50"/>
      <c r="BJ181" s="50"/>
      <c r="BK181" s="50"/>
      <c r="BL181" s="50"/>
      <c r="BM181" s="50"/>
      <c r="BN181" s="50"/>
      <c r="BO181" s="50"/>
      <c r="BP181" s="50"/>
      <c r="BQ181" s="50"/>
      <c r="BR181" s="50"/>
      <c r="BS181" s="50"/>
      <c r="BT181" s="50"/>
      <c r="BU181" s="50"/>
      <c r="BV181" s="50"/>
      <c r="BW181" s="50"/>
      <c r="BX181" s="50"/>
      <c r="BY181" s="50"/>
      <c r="BZ181" s="50"/>
      <c r="CA181" s="50"/>
      <c r="CB181" s="50"/>
      <c r="CC181" s="50"/>
      <c r="CD181" s="50"/>
      <c r="CE181" s="50"/>
      <c r="CF181" s="50"/>
      <c r="CG181" s="50"/>
      <c r="CH181" s="50"/>
      <c r="CI181" s="50"/>
      <c r="CJ181" s="50"/>
      <c r="CK181" s="50"/>
      <c r="CL181" s="50"/>
      <c r="CM181" s="50"/>
      <c r="CN181" s="50"/>
      <c r="CO181" s="50"/>
      <c r="CP181" s="50"/>
      <c r="CQ181" s="50"/>
      <c r="CR181" s="50"/>
      <c r="CS181" s="50"/>
      <c r="CT181" s="50"/>
      <c r="CU181" s="50"/>
      <c r="CV181" s="50"/>
      <c r="CW181" s="50"/>
      <c r="CX181" s="50"/>
      <c r="CY181" s="50"/>
      <c r="CZ181" s="50"/>
      <c r="DA181" s="50"/>
      <c r="DB181" s="50"/>
      <c r="DC181" s="50"/>
      <c r="DD181" s="50"/>
      <c r="DE181" s="50"/>
      <c r="DF181" s="50"/>
      <c r="DG181" s="50"/>
      <c r="DH181" s="50"/>
      <c r="DI181" s="50"/>
      <c r="DJ181" s="50"/>
      <c r="DK181" s="50"/>
      <c r="DL181" s="50"/>
      <c r="DM181" s="50"/>
      <c r="DN181" s="50"/>
      <c r="DO181" s="50"/>
      <c r="DP181" s="50"/>
      <c r="DQ181" s="50"/>
      <c r="DR181" s="50"/>
      <c r="DS181" s="50"/>
      <c r="DT181" s="50"/>
      <c r="DU181" s="50"/>
      <c r="DV181" s="50"/>
      <c r="DW181" s="50"/>
      <c r="DX181" s="50"/>
      <c r="DY181" s="50"/>
      <c r="DZ181" s="50"/>
      <c r="EA181" s="50"/>
      <c r="EB181" s="50"/>
      <c r="EC181" s="50"/>
      <c r="ED181" s="50"/>
      <c r="EE181" s="50"/>
      <c r="EF181" s="50"/>
      <c r="EG181" s="50"/>
      <c r="EH181" s="50"/>
      <c r="EI181" s="50"/>
      <c r="EJ181" s="50"/>
      <c r="EK181" s="50"/>
      <c r="EL181" s="50"/>
      <c r="EM181" s="50"/>
      <c r="EN181" s="50"/>
      <c r="EO181" s="50"/>
      <c r="EP181" s="50"/>
      <c r="EQ181" s="50"/>
      <c r="ER181" s="50"/>
      <c r="ES181" s="50"/>
      <c r="ET181" s="50"/>
      <c r="EU181" s="50"/>
      <c r="EV181" s="50"/>
      <c r="EW181" s="50"/>
      <c r="EX181" s="50"/>
      <c r="EY181" s="50"/>
      <c r="EZ181" s="50"/>
      <c r="FA181" s="50"/>
      <c r="FB181" s="50"/>
      <c r="FC181" s="50"/>
      <c r="FD181" s="50"/>
      <c r="FE181" s="50"/>
      <c r="FF181" s="50"/>
      <c r="FG181" s="50"/>
      <c r="FH181" s="50"/>
      <c r="FI181" s="50"/>
      <c r="FJ181" s="50"/>
      <c r="FK181" s="50"/>
      <c r="FL181" s="50"/>
      <c r="FM181" s="50"/>
      <c r="FN181" s="50"/>
      <c r="FO181" s="50"/>
      <c r="FP181" s="50"/>
      <c r="FQ181" s="50"/>
      <c r="FR181" s="50"/>
      <c r="FS181" s="50"/>
      <c r="FT181" s="50"/>
      <c r="FU181" s="50"/>
      <c r="FV181" s="50"/>
      <c r="FW181" s="50"/>
      <c r="FX181" s="50"/>
      <c r="FY181" s="50"/>
      <c r="FZ181" s="50"/>
      <c r="GA181" s="50"/>
      <c r="GB181" s="50"/>
      <c r="GC181" s="50"/>
      <c r="GD181" s="50"/>
      <c r="GE181" s="50"/>
      <c r="GF181" s="50"/>
      <c r="GG181" s="50"/>
      <c r="GH181" s="50"/>
      <c r="GI181" s="50"/>
      <c r="GJ181" s="50"/>
      <c r="GK181" s="50"/>
      <c r="GL181" s="50"/>
      <c r="GM181" s="50"/>
      <c r="GN181" s="50"/>
      <c r="GO181" s="50"/>
      <c r="GP181" s="50"/>
      <c r="GQ181" s="50"/>
      <c r="GR181" s="50"/>
      <c r="GS181" s="50"/>
      <c r="GT181" s="50"/>
      <c r="GU181" s="50"/>
      <c r="GV181" s="50"/>
      <c r="GW181" s="50"/>
      <c r="GX181" s="50"/>
      <c r="GY181" s="50"/>
      <c r="GZ181" s="50"/>
      <c r="HA181" s="50"/>
    </row>
    <row r="182" s="51" customFormat="1" spans="1:209">
      <c r="A182" s="50"/>
      <c r="B182" s="50"/>
      <c r="C182" s="50"/>
      <c r="D182" s="50"/>
      <c r="E182" s="50"/>
      <c r="F182" s="50"/>
      <c r="G182" s="50"/>
      <c r="H182" s="60" t="s">
        <v>270</v>
      </c>
      <c r="I182" s="60" t="s">
        <v>430</v>
      </c>
      <c r="J182" s="59">
        <v>5475</v>
      </c>
      <c r="K182" s="59">
        <v>34977</v>
      </c>
      <c r="L182" s="59">
        <v>177946</v>
      </c>
      <c r="M182" s="59">
        <v>6162</v>
      </c>
      <c r="N182" s="59">
        <v>224560</v>
      </c>
      <c r="O182" s="63"/>
      <c r="P182" s="63">
        <f t="shared" si="5"/>
        <v>-224560</v>
      </c>
      <c r="Q182" s="50"/>
      <c r="R182" s="50"/>
      <c r="S182" s="69" t="s">
        <v>270</v>
      </c>
      <c r="T182" s="50"/>
      <c r="U182" s="52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  <c r="AQ182" s="50"/>
      <c r="AR182" s="50"/>
      <c r="AS182" s="50"/>
      <c r="AT182" s="50"/>
      <c r="AU182" s="50"/>
      <c r="AV182" s="50"/>
      <c r="AW182" s="50"/>
      <c r="AX182" s="50"/>
      <c r="AY182" s="50"/>
      <c r="AZ182" s="50"/>
      <c r="BA182" s="50"/>
      <c r="BB182" s="50"/>
      <c r="BC182" s="50"/>
      <c r="BD182" s="50"/>
      <c r="BE182" s="50"/>
      <c r="BF182" s="50"/>
      <c r="BG182" s="50"/>
      <c r="BH182" s="50"/>
      <c r="BI182" s="50"/>
      <c r="BJ182" s="50"/>
      <c r="BK182" s="50"/>
      <c r="BL182" s="50"/>
      <c r="BM182" s="50"/>
      <c r="BN182" s="50"/>
      <c r="BO182" s="50"/>
      <c r="BP182" s="50"/>
      <c r="BQ182" s="50"/>
      <c r="BR182" s="50"/>
      <c r="BS182" s="50"/>
      <c r="BT182" s="50"/>
      <c r="BU182" s="50"/>
      <c r="BV182" s="50"/>
      <c r="BW182" s="50"/>
      <c r="BX182" s="50"/>
      <c r="BY182" s="50"/>
      <c r="BZ182" s="50"/>
      <c r="CA182" s="50"/>
      <c r="CB182" s="50"/>
      <c r="CC182" s="50"/>
      <c r="CD182" s="50"/>
      <c r="CE182" s="50"/>
      <c r="CF182" s="50"/>
      <c r="CG182" s="50"/>
      <c r="CH182" s="50"/>
      <c r="CI182" s="50"/>
      <c r="CJ182" s="50"/>
      <c r="CK182" s="50"/>
      <c r="CL182" s="50"/>
      <c r="CM182" s="50"/>
      <c r="CN182" s="50"/>
      <c r="CO182" s="50"/>
      <c r="CP182" s="50"/>
      <c r="CQ182" s="50"/>
      <c r="CR182" s="50"/>
      <c r="CS182" s="50"/>
      <c r="CT182" s="50"/>
      <c r="CU182" s="50"/>
      <c r="CV182" s="50"/>
      <c r="CW182" s="50"/>
      <c r="CX182" s="50"/>
      <c r="CY182" s="50"/>
      <c r="CZ182" s="50"/>
      <c r="DA182" s="50"/>
      <c r="DB182" s="50"/>
      <c r="DC182" s="50"/>
      <c r="DD182" s="50"/>
      <c r="DE182" s="50"/>
      <c r="DF182" s="50"/>
      <c r="DG182" s="50"/>
      <c r="DH182" s="50"/>
      <c r="DI182" s="50"/>
      <c r="DJ182" s="50"/>
      <c r="DK182" s="50"/>
      <c r="DL182" s="50"/>
      <c r="DM182" s="50"/>
      <c r="DN182" s="50"/>
      <c r="DO182" s="50"/>
      <c r="DP182" s="50"/>
      <c r="DQ182" s="50"/>
      <c r="DR182" s="50"/>
      <c r="DS182" s="50"/>
      <c r="DT182" s="50"/>
      <c r="DU182" s="50"/>
      <c r="DV182" s="50"/>
      <c r="DW182" s="50"/>
      <c r="DX182" s="50"/>
      <c r="DY182" s="50"/>
      <c r="DZ182" s="50"/>
      <c r="EA182" s="50"/>
      <c r="EB182" s="50"/>
      <c r="EC182" s="50"/>
      <c r="ED182" s="50"/>
      <c r="EE182" s="50"/>
      <c r="EF182" s="50"/>
      <c r="EG182" s="50"/>
      <c r="EH182" s="50"/>
      <c r="EI182" s="50"/>
      <c r="EJ182" s="50"/>
      <c r="EK182" s="50"/>
      <c r="EL182" s="50"/>
      <c r="EM182" s="50"/>
      <c r="EN182" s="50"/>
      <c r="EO182" s="50"/>
      <c r="EP182" s="50"/>
      <c r="EQ182" s="50"/>
      <c r="ER182" s="50"/>
      <c r="ES182" s="50"/>
      <c r="ET182" s="50"/>
      <c r="EU182" s="50"/>
      <c r="EV182" s="50"/>
      <c r="EW182" s="50"/>
      <c r="EX182" s="50"/>
      <c r="EY182" s="50"/>
      <c r="EZ182" s="50"/>
      <c r="FA182" s="50"/>
      <c r="FB182" s="50"/>
      <c r="FC182" s="50"/>
      <c r="FD182" s="50"/>
      <c r="FE182" s="50"/>
      <c r="FF182" s="50"/>
      <c r="FG182" s="50"/>
      <c r="FH182" s="50"/>
      <c r="FI182" s="50"/>
      <c r="FJ182" s="50"/>
      <c r="FK182" s="50"/>
      <c r="FL182" s="50"/>
      <c r="FM182" s="50"/>
      <c r="FN182" s="50"/>
      <c r="FO182" s="50"/>
      <c r="FP182" s="50"/>
      <c r="FQ182" s="50"/>
      <c r="FR182" s="50"/>
      <c r="FS182" s="50"/>
      <c r="FT182" s="50"/>
      <c r="FU182" s="50"/>
      <c r="FV182" s="50"/>
      <c r="FW182" s="50"/>
      <c r="FX182" s="50"/>
      <c r="FY182" s="50"/>
      <c r="FZ182" s="50"/>
      <c r="GA182" s="50"/>
      <c r="GB182" s="50"/>
      <c r="GC182" s="50"/>
      <c r="GD182" s="50"/>
      <c r="GE182" s="50"/>
      <c r="GF182" s="50"/>
      <c r="GG182" s="50"/>
      <c r="GH182" s="50"/>
      <c r="GI182" s="50"/>
      <c r="GJ182" s="50"/>
      <c r="GK182" s="50"/>
      <c r="GL182" s="50"/>
      <c r="GM182" s="50"/>
      <c r="GN182" s="50"/>
      <c r="GO182" s="50"/>
      <c r="GP182" s="50"/>
      <c r="GQ182" s="50"/>
      <c r="GR182" s="50"/>
      <c r="GS182" s="50"/>
      <c r="GT182" s="50"/>
      <c r="GU182" s="50"/>
      <c r="GV182" s="50"/>
      <c r="GW182" s="50"/>
      <c r="GX182" s="50"/>
      <c r="GY182" s="50"/>
      <c r="GZ182" s="50"/>
      <c r="HA182" s="50"/>
    </row>
    <row r="183" s="51" customFormat="1" spans="1:209">
      <c r="A183" s="50"/>
      <c r="B183" s="50"/>
      <c r="C183" s="50"/>
      <c r="D183" s="50"/>
      <c r="E183" s="50"/>
      <c r="F183" s="50"/>
      <c r="G183" s="50"/>
      <c r="H183" s="60" t="s">
        <v>270</v>
      </c>
      <c r="I183" s="60" t="s">
        <v>431</v>
      </c>
      <c r="J183" s="59">
        <v>33023</v>
      </c>
      <c r="K183" s="59">
        <v>169609</v>
      </c>
      <c r="L183" s="59">
        <v>723558</v>
      </c>
      <c r="M183" s="59">
        <v>1587</v>
      </c>
      <c r="N183" s="59">
        <v>927777</v>
      </c>
      <c r="O183" s="63"/>
      <c r="P183" s="63">
        <f t="shared" si="5"/>
        <v>-927777</v>
      </c>
      <c r="Q183" s="50"/>
      <c r="R183" s="50"/>
      <c r="S183" s="69" t="s">
        <v>270</v>
      </c>
      <c r="T183" s="50"/>
      <c r="U183" s="52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  <c r="AQ183" s="50"/>
      <c r="AR183" s="50"/>
      <c r="AS183" s="50"/>
      <c r="AT183" s="50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  <c r="BG183" s="50"/>
      <c r="BH183" s="50"/>
      <c r="BI183" s="50"/>
      <c r="BJ183" s="50"/>
      <c r="BK183" s="50"/>
      <c r="BL183" s="50"/>
      <c r="BM183" s="50"/>
      <c r="BN183" s="50"/>
      <c r="BO183" s="50"/>
      <c r="BP183" s="50"/>
      <c r="BQ183" s="50"/>
      <c r="BR183" s="50"/>
      <c r="BS183" s="50"/>
      <c r="BT183" s="50"/>
      <c r="BU183" s="50"/>
      <c r="BV183" s="50"/>
      <c r="BW183" s="50"/>
      <c r="BX183" s="50"/>
      <c r="BY183" s="50"/>
      <c r="BZ183" s="50"/>
      <c r="CA183" s="50"/>
      <c r="CB183" s="50"/>
      <c r="CC183" s="50"/>
      <c r="CD183" s="50"/>
      <c r="CE183" s="50"/>
      <c r="CF183" s="50"/>
      <c r="CG183" s="50"/>
      <c r="CH183" s="50"/>
      <c r="CI183" s="50"/>
      <c r="CJ183" s="50"/>
      <c r="CK183" s="50"/>
      <c r="CL183" s="50"/>
      <c r="CM183" s="50"/>
      <c r="CN183" s="50"/>
      <c r="CO183" s="50"/>
      <c r="CP183" s="50"/>
      <c r="CQ183" s="50"/>
      <c r="CR183" s="50"/>
      <c r="CS183" s="50"/>
      <c r="CT183" s="50"/>
      <c r="CU183" s="50"/>
      <c r="CV183" s="50"/>
      <c r="CW183" s="50"/>
      <c r="CX183" s="50"/>
      <c r="CY183" s="50"/>
      <c r="CZ183" s="50"/>
      <c r="DA183" s="50"/>
      <c r="DB183" s="50"/>
      <c r="DC183" s="50"/>
      <c r="DD183" s="50"/>
      <c r="DE183" s="50"/>
      <c r="DF183" s="50"/>
      <c r="DG183" s="50"/>
      <c r="DH183" s="50"/>
      <c r="DI183" s="50"/>
      <c r="DJ183" s="50"/>
      <c r="DK183" s="50"/>
      <c r="DL183" s="50"/>
      <c r="DM183" s="50"/>
      <c r="DN183" s="50"/>
      <c r="DO183" s="50"/>
      <c r="DP183" s="50"/>
      <c r="DQ183" s="50"/>
      <c r="DR183" s="50"/>
      <c r="DS183" s="50"/>
      <c r="DT183" s="50"/>
      <c r="DU183" s="50"/>
      <c r="DV183" s="50"/>
      <c r="DW183" s="50"/>
      <c r="DX183" s="50"/>
      <c r="DY183" s="50"/>
      <c r="DZ183" s="50"/>
      <c r="EA183" s="50"/>
      <c r="EB183" s="50"/>
      <c r="EC183" s="50"/>
      <c r="ED183" s="50"/>
      <c r="EE183" s="50"/>
      <c r="EF183" s="50"/>
      <c r="EG183" s="50"/>
      <c r="EH183" s="50"/>
      <c r="EI183" s="50"/>
      <c r="EJ183" s="50"/>
      <c r="EK183" s="50"/>
      <c r="EL183" s="50"/>
      <c r="EM183" s="50"/>
      <c r="EN183" s="50"/>
      <c r="EO183" s="50"/>
      <c r="EP183" s="50"/>
      <c r="EQ183" s="50"/>
      <c r="ER183" s="50"/>
      <c r="ES183" s="50"/>
      <c r="ET183" s="50"/>
      <c r="EU183" s="50"/>
      <c r="EV183" s="50"/>
      <c r="EW183" s="50"/>
      <c r="EX183" s="50"/>
      <c r="EY183" s="50"/>
      <c r="EZ183" s="50"/>
      <c r="FA183" s="50"/>
      <c r="FB183" s="50"/>
      <c r="FC183" s="50"/>
      <c r="FD183" s="50"/>
      <c r="FE183" s="50"/>
      <c r="FF183" s="50"/>
      <c r="FG183" s="50"/>
      <c r="FH183" s="50"/>
      <c r="FI183" s="50"/>
      <c r="FJ183" s="50"/>
      <c r="FK183" s="50"/>
      <c r="FL183" s="50"/>
      <c r="FM183" s="50"/>
      <c r="FN183" s="50"/>
      <c r="FO183" s="50"/>
      <c r="FP183" s="50"/>
      <c r="FQ183" s="50"/>
      <c r="FR183" s="50"/>
      <c r="FS183" s="50"/>
      <c r="FT183" s="50"/>
      <c r="FU183" s="50"/>
      <c r="FV183" s="50"/>
      <c r="FW183" s="50"/>
      <c r="FX183" s="50"/>
      <c r="FY183" s="50"/>
      <c r="FZ183" s="50"/>
      <c r="GA183" s="50"/>
      <c r="GB183" s="50"/>
      <c r="GC183" s="50"/>
      <c r="GD183" s="50"/>
      <c r="GE183" s="50"/>
      <c r="GF183" s="50"/>
      <c r="GG183" s="50"/>
      <c r="GH183" s="50"/>
      <c r="GI183" s="50"/>
      <c r="GJ183" s="50"/>
      <c r="GK183" s="50"/>
      <c r="GL183" s="50"/>
      <c r="GM183" s="50"/>
      <c r="GN183" s="50"/>
      <c r="GO183" s="50"/>
      <c r="GP183" s="50"/>
      <c r="GQ183" s="50"/>
      <c r="GR183" s="50"/>
      <c r="GS183" s="50"/>
      <c r="GT183" s="50"/>
      <c r="GU183" s="50"/>
      <c r="GV183" s="50"/>
      <c r="GW183" s="50"/>
      <c r="GX183" s="50"/>
      <c r="GY183" s="50"/>
      <c r="GZ183" s="50"/>
      <c r="HA183" s="50"/>
    </row>
    <row r="184" s="51" customFormat="1" spans="1:209">
      <c r="A184" s="50"/>
      <c r="B184" s="50"/>
      <c r="C184" s="50"/>
      <c r="D184" s="50"/>
      <c r="E184" s="50"/>
      <c r="F184" s="50"/>
      <c r="G184" s="50"/>
      <c r="H184" s="60" t="s">
        <v>270</v>
      </c>
      <c r="I184" s="60" t="s">
        <v>432</v>
      </c>
      <c r="J184" s="59">
        <v>5268</v>
      </c>
      <c r="K184" s="59">
        <v>27145</v>
      </c>
      <c r="L184" s="59">
        <v>134337</v>
      </c>
      <c r="M184" s="59">
        <v>3083</v>
      </c>
      <c r="N184" s="59">
        <v>169833</v>
      </c>
      <c r="O184" s="63"/>
      <c r="P184" s="63">
        <f t="shared" si="5"/>
        <v>-169833</v>
      </c>
      <c r="Q184" s="50"/>
      <c r="R184" s="50"/>
      <c r="S184" s="69" t="s">
        <v>270</v>
      </c>
      <c r="T184" s="50"/>
      <c r="U184" s="52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0"/>
      <c r="AQ184" s="50"/>
      <c r="AR184" s="50"/>
      <c r="AS184" s="50"/>
      <c r="AT184" s="50"/>
      <c r="AU184" s="50"/>
      <c r="AV184" s="50"/>
      <c r="AW184" s="50"/>
      <c r="AX184" s="50"/>
      <c r="AY184" s="50"/>
      <c r="AZ184" s="50"/>
      <c r="BA184" s="50"/>
      <c r="BB184" s="50"/>
      <c r="BC184" s="50"/>
      <c r="BD184" s="50"/>
      <c r="BE184" s="50"/>
      <c r="BF184" s="50"/>
      <c r="BG184" s="50"/>
      <c r="BH184" s="50"/>
      <c r="BI184" s="50"/>
      <c r="BJ184" s="50"/>
      <c r="BK184" s="50"/>
      <c r="BL184" s="50"/>
      <c r="BM184" s="50"/>
      <c r="BN184" s="50"/>
      <c r="BO184" s="50"/>
      <c r="BP184" s="50"/>
      <c r="BQ184" s="50"/>
      <c r="BR184" s="50"/>
      <c r="BS184" s="50"/>
      <c r="BT184" s="50"/>
      <c r="BU184" s="50"/>
      <c r="BV184" s="50"/>
      <c r="BW184" s="50"/>
      <c r="BX184" s="50"/>
      <c r="BY184" s="50"/>
      <c r="BZ184" s="50"/>
      <c r="CA184" s="50"/>
      <c r="CB184" s="50"/>
      <c r="CC184" s="50"/>
      <c r="CD184" s="50"/>
      <c r="CE184" s="50"/>
      <c r="CF184" s="50"/>
      <c r="CG184" s="50"/>
      <c r="CH184" s="50"/>
      <c r="CI184" s="50"/>
      <c r="CJ184" s="50"/>
      <c r="CK184" s="50"/>
      <c r="CL184" s="50"/>
      <c r="CM184" s="50"/>
      <c r="CN184" s="50"/>
      <c r="CO184" s="50"/>
      <c r="CP184" s="50"/>
      <c r="CQ184" s="50"/>
      <c r="CR184" s="50"/>
      <c r="CS184" s="50"/>
      <c r="CT184" s="50"/>
      <c r="CU184" s="50"/>
      <c r="CV184" s="50"/>
      <c r="CW184" s="50"/>
      <c r="CX184" s="50"/>
      <c r="CY184" s="50"/>
      <c r="CZ184" s="50"/>
      <c r="DA184" s="50"/>
      <c r="DB184" s="50"/>
      <c r="DC184" s="50"/>
      <c r="DD184" s="50"/>
      <c r="DE184" s="50"/>
      <c r="DF184" s="50"/>
      <c r="DG184" s="50"/>
      <c r="DH184" s="50"/>
      <c r="DI184" s="50"/>
      <c r="DJ184" s="50"/>
      <c r="DK184" s="50"/>
      <c r="DL184" s="50"/>
      <c r="DM184" s="50"/>
      <c r="DN184" s="50"/>
      <c r="DO184" s="50"/>
      <c r="DP184" s="50"/>
      <c r="DQ184" s="50"/>
      <c r="DR184" s="50"/>
      <c r="DS184" s="50"/>
      <c r="DT184" s="50"/>
      <c r="DU184" s="50"/>
      <c r="DV184" s="50"/>
      <c r="DW184" s="50"/>
      <c r="DX184" s="50"/>
      <c r="DY184" s="50"/>
      <c r="DZ184" s="50"/>
      <c r="EA184" s="50"/>
      <c r="EB184" s="50"/>
      <c r="EC184" s="50"/>
      <c r="ED184" s="50"/>
      <c r="EE184" s="50"/>
      <c r="EF184" s="50"/>
      <c r="EG184" s="50"/>
      <c r="EH184" s="50"/>
      <c r="EI184" s="50"/>
      <c r="EJ184" s="50"/>
      <c r="EK184" s="50"/>
      <c r="EL184" s="50"/>
      <c r="EM184" s="50"/>
      <c r="EN184" s="50"/>
      <c r="EO184" s="50"/>
      <c r="EP184" s="50"/>
      <c r="EQ184" s="50"/>
      <c r="ER184" s="50"/>
      <c r="ES184" s="50"/>
      <c r="ET184" s="50"/>
      <c r="EU184" s="50"/>
      <c r="EV184" s="50"/>
      <c r="EW184" s="50"/>
      <c r="EX184" s="50"/>
      <c r="EY184" s="50"/>
      <c r="EZ184" s="50"/>
      <c r="FA184" s="50"/>
      <c r="FB184" s="50"/>
      <c r="FC184" s="50"/>
      <c r="FD184" s="50"/>
      <c r="FE184" s="50"/>
      <c r="FF184" s="50"/>
      <c r="FG184" s="50"/>
      <c r="FH184" s="50"/>
      <c r="FI184" s="50"/>
      <c r="FJ184" s="50"/>
      <c r="FK184" s="50"/>
      <c r="FL184" s="50"/>
      <c r="FM184" s="50"/>
      <c r="FN184" s="50"/>
      <c r="FO184" s="50"/>
      <c r="FP184" s="50"/>
      <c r="FQ184" s="50"/>
      <c r="FR184" s="50"/>
      <c r="FS184" s="50"/>
      <c r="FT184" s="50"/>
      <c r="FU184" s="50"/>
      <c r="FV184" s="50"/>
      <c r="FW184" s="50"/>
      <c r="FX184" s="50"/>
      <c r="FY184" s="50"/>
      <c r="FZ184" s="50"/>
      <c r="GA184" s="50"/>
      <c r="GB184" s="50"/>
      <c r="GC184" s="50"/>
      <c r="GD184" s="50"/>
      <c r="GE184" s="50"/>
      <c r="GF184" s="50"/>
      <c r="GG184" s="50"/>
      <c r="GH184" s="50"/>
      <c r="GI184" s="50"/>
      <c r="GJ184" s="50"/>
      <c r="GK184" s="50"/>
      <c r="GL184" s="50"/>
      <c r="GM184" s="50"/>
      <c r="GN184" s="50"/>
      <c r="GO184" s="50"/>
      <c r="GP184" s="50"/>
      <c r="GQ184" s="50"/>
      <c r="GR184" s="50"/>
      <c r="GS184" s="50"/>
      <c r="GT184" s="50"/>
      <c r="GU184" s="50"/>
      <c r="GV184" s="50"/>
      <c r="GW184" s="50"/>
      <c r="GX184" s="50"/>
      <c r="GY184" s="50"/>
      <c r="GZ184" s="50"/>
      <c r="HA184" s="50"/>
    </row>
    <row r="185" s="51" customFormat="1" spans="1:209">
      <c r="A185" s="50"/>
      <c r="B185" s="50"/>
      <c r="C185" s="50"/>
      <c r="D185" s="50"/>
      <c r="E185" s="50"/>
      <c r="F185" s="50"/>
      <c r="G185" s="50"/>
      <c r="H185" s="60" t="s">
        <v>270</v>
      </c>
      <c r="I185" s="60" t="s">
        <v>433</v>
      </c>
      <c r="J185" s="59">
        <v>3185</v>
      </c>
      <c r="K185" s="59">
        <v>16944</v>
      </c>
      <c r="L185" s="59">
        <v>64990</v>
      </c>
      <c r="M185" s="59">
        <v>504</v>
      </c>
      <c r="N185" s="59">
        <v>85623</v>
      </c>
      <c r="O185" s="63"/>
      <c r="P185" s="63">
        <f t="shared" si="5"/>
        <v>-85623</v>
      </c>
      <c r="Q185" s="50"/>
      <c r="R185" s="50"/>
      <c r="S185" s="69" t="s">
        <v>270</v>
      </c>
      <c r="T185" s="50"/>
      <c r="U185" s="52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0"/>
      <c r="AQ185" s="50"/>
      <c r="AR185" s="50"/>
      <c r="AS185" s="50"/>
      <c r="AT185" s="50"/>
      <c r="AU185" s="50"/>
      <c r="AV185" s="50"/>
      <c r="AW185" s="50"/>
      <c r="AX185" s="50"/>
      <c r="AY185" s="50"/>
      <c r="AZ185" s="50"/>
      <c r="BA185" s="50"/>
      <c r="BB185" s="50"/>
      <c r="BC185" s="50"/>
      <c r="BD185" s="50"/>
      <c r="BE185" s="50"/>
      <c r="BF185" s="50"/>
      <c r="BG185" s="50"/>
      <c r="BH185" s="50"/>
      <c r="BI185" s="50"/>
      <c r="BJ185" s="50"/>
      <c r="BK185" s="50"/>
      <c r="BL185" s="50"/>
      <c r="BM185" s="50"/>
      <c r="BN185" s="50"/>
      <c r="BO185" s="50"/>
      <c r="BP185" s="50"/>
      <c r="BQ185" s="50"/>
      <c r="BR185" s="50"/>
      <c r="BS185" s="50"/>
      <c r="BT185" s="50"/>
      <c r="BU185" s="50"/>
      <c r="BV185" s="50"/>
      <c r="BW185" s="50"/>
      <c r="BX185" s="50"/>
      <c r="BY185" s="50"/>
      <c r="BZ185" s="50"/>
      <c r="CA185" s="50"/>
      <c r="CB185" s="50"/>
      <c r="CC185" s="50"/>
      <c r="CD185" s="50"/>
      <c r="CE185" s="50"/>
      <c r="CF185" s="50"/>
      <c r="CG185" s="50"/>
      <c r="CH185" s="50"/>
      <c r="CI185" s="50"/>
      <c r="CJ185" s="50"/>
      <c r="CK185" s="50"/>
      <c r="CL185" s="50"/>
      <c r="CM185" s="50"/>
      <c r="CN185" s="50"/>
      <c r="CO185" s="50"/>
      <c r="CP185" s="50"/>
      <c r="CQ185" s="50"/>
      <c r="CR185" s="50"/>
      <c r="CS185" s="50"/>
      <c r="CT185" s="50"/>
      <c r="CU185" s="50"/>
      <c r="CV185" s="50"/>
      <c r="CW185" s="50"/>
      <c r="CX185" s="50"/>
      <c r="CY185" s="50"/>
      <c r="CZ185" s="50"/>
      <c r="DA185" s="50"/>
      <c r="DB185" s="50"/>
      <c r="DC185" s="50"/>
      <c r="DD185" s="50"/>
      <c r="DE185" s="50"/>
      <c r="DF185" s="50"/>
      <c r="DG185" s="50"/>
      <c r="DH185" s="50"/>
      <c r="DI185" s="50"/>
      <c r="DJ185" s="50"/>
      <c r="DK185" s="50"/>
      <c r="DL185" s="50"/>
      <c r="DM185" s="50"/>
      <c r="DN185" s="50"/>
      <c r="DO185" s="50"/>
      <c r="DP185" s="50"/>
      <c r="DQ185" s="50"/>
      <c r="DR185" s="50"/>
      <c r="DS185" s="50"/>
      <c r="DT185" s="50"/>
      <c r="DU185" s="50"/>
      <c r="DV185" s="50"/>
      <c r="DW185" s="50"/>
      <c r="DX185" s="50"/>
      <c r="DY185" s="50"/>
      <c r="DZ185" s="50"/>
      <c r="EA185" s="50"/>
      <c r="EB185" s="50"/>
      <c r="EC185" s="50"/>
      <c r="ED185" s="50"/>
      <c r="EE185" s="50"/>
      <c r="EF185" s="50"/>
      <c r="EG185" s="50"/>
      <c r="EH185" s="50"/>
      <c r="EI185" s="50"/>
      <c r="EJ185" s="50"/>
      <c r="EK185" s="50"/>
      <c r="EL185" s="50"/>
      <c r="EM185" s="50"/>
      <c r="EN185" s="50"/>
      <c r="EO185" s="50"/>
      <c r="EP185" s="50"/>
      <c r="EQ185" s="50"/>
      <c r="ER185" s="50"/>
      <c r="ES185" s="50"/>
      <c r="ET185" s="50"/>
      <c r="EU185" s="50"/>
      <c r="EV185" s="50"/>
      <c r="EW185" s="50"/>
      <c r="EX185" s="50"/>
      <c r="EY185" s="50"/>
      <c r="EZ185" s="50"/>
      <c r="FA185" s="50"/>
      <c r="FB185" s="50"/>
      <c r="FC185" s="50"/>
      <c r="FD185" s="50"/>
      <c r="FE185" s="50"/>
      <c r="FF185" s="50"/>
      <c r="FG185" s="50"/>
      <c r="FH185" s="50"/>
      <c r="FI185" s="50"/>
      <c r="FJ185" s="50"/>
      <c r="FK185" s="50"/>
      <c r="FL185" s="50"/>
      <c r="FM185" s="50"/>
      <c r="FN185" s="50"/>
      <c r="FO185" s="50"/>
      <c r="FP185" s="50"/>
      <c r="FQ185" s="50"/>
      <c r="FR185" s="50"/>
      <c r="FS185" s="50"/>
      <c r="FT185" s="50"/>
      <c r="FU185" s="50"/>
      <c r="FV185" s="50"/>
      <c r="FW185" s="50"/>
      <c r="FX185" s="50"/>
      <c r="FY185" s="50"/>
      <c r="FZ185" s="50"/>
      <c r="GA185" s="50"/>
      <c r="GB185" s="50"/>
      <c r="GC185" s="50"/>
      <c r="GD185" s="50"/>
      <c r="GE185" s="50"/>
      <c r="GF185" s="50"/>
      <c r="GG185" s="50"/>
      <c r="GH185" s="50"/>
      <c r="GI185" s="50"/>
      <c r="GJ185" s="50"/>
      <c r="GK185" s="50"/>
      <c r="GL185" s="50"/>
      <c r="GM185" s="50"/>
      <c r="GN185" s="50"/>
      <c r="GO185" s="50"/>
      <c r="GP185" s="50"/>
      <c r="GQ185" s="50"/>
      <c r="GR185" s="50"/>
      <c r="GS185" s="50"/>
      <c r="GT185" s="50"/>
      <c r="GU185" s="50"/>
      <c r="GV185" s="50"/>
      <c r="GW185" s="50"/>
      <c r="GX185" s="50"/>
      <c r="GY185" s="50"/>
      <c r="GZ185" s="50"/>
      <c r="HA185" s="50"/>
    </row>
    <row r="186" s="51" customFormat="1" spans="1:209">
      <c r="A186" s="50"/>
      <c r="B186" s="50"/>
      <c r="C186" s="50"/>
      <c r="D186" s="50"/>
      <c r="E186" s="50"/>
      <c r="F186" s="50"/>
      <c r="G186" s="50"/>
      <c r="H186" s="60" t="s">
        <v>270</v>
      </c>
      <c r="I186" s="60" t="s">
        <v>434</v>
      </c>
      <c r="J186" s="59">
        <v>8266</v>
      </c>
      <c r="K186" s="59">
        <v>48444</v>
      </c>
      <c r="L186" s="59">
        <v>174023</v>
      </c>
      <c r="M186" s="59">
        <v>3564</v>
      </c>
      <c r="N186" s="59">
        <v>234297</v>
      </c>
      <c r="O186" s="63"/>
      <c r="P186" s="63">
        <f t="shared" si="5"/>
        <v>-234297</v>
      </c>
      <c r="Q186" s="50"/>
      <c r="R186" s="50"/>
      <c r="S186" s="69" t="s">
        <v>270</v>
      </c>
      <c r="T186" s="50"/>
      <c r="U186" s="52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0"/>
      <c r="AQ186" s="50"/>
      <c r="AR186" s="50"/>
      <c r="AS186" s="50"/>
      <c r="AT186" s="50"/>
      <c r="AU186" s="50"/>
      <c r="AV186" s="50"/>
      <c r="AW186" s="50"/>
      <c r="AX186" s="50"/>
      <c r="AY186" s="50"/>
      <c r="AZ186" s="50"/>
      <c r="BA186" s="50"/>
      <c r="BB186" s="50"/>
      <c r="BC186" s="50"/>
      <c r="BD186" s="50"/>
      <c r="BE186" s="50"/>
      <c r="BF186" s="50"/>
      <c r="BG186" s="50"/>
      <c r="BH186" s="50"/>
      <c r="BI186" s="50"/>
      <c r="BJ186" s="50"/>
      <c r="BK186" s="50"/>
      <c r="BL186" s="50"/>
      <c r="BM186" s="50"/>
      <c r="BN186" s="50"/>
      <c r="BO186" s="50"/>
      <c r="BP186" s="50"/>
      <c r="BQ186" s="50"/>
      <c r="BR186" s="50"/>
      <c r="BS186" s="50"/>
      <c r="BT186" s="50"/>
      <c r="BU186" s="50"/>
      <c r="BV186" s="50"/>
      <c r="BW186" s="50"/>
      <c r="BX186" s="50"/>
      <c r="BY186" s="50"/>
      <c r="BZ186" s="50"/>
      <c r="CA186" s="50"/>
      <c r="CB186" s="50"/>
      <c r="CC186" s="50"/>
      <c r="CD186" s="50"/>
      <c r="CE186" s="50"/>
      <c r="CF186" s="50"/>
      <c r="CG186" s="50"/>
      <c r="CH186" s="50"/>
      <c r="CI186" s="50"/>
      <c r="CJ186" s="50"/>
      <c r="CK186" s="50"/>
      <c r="CL186" s="50"/>
      <c r="CM186" s="50"/>
      <c r="CN186" s="50"/>
      <c r="CO186" s="50"/>
      <c r="CP186" s="50"/>
      <c r="CQ186" s="50"/>
      <c r="CR186" s="50"/>
      <c r="CS186" s="50"/>
      <c r="CT186" s="50"/>
      <c r="CU186" s="50"/>
      <c r="CV186" s="50"/>
      <c r="CW186" s="50"/>
      <c r="CX186" s="50"/>
      <c r="CY186" s="50"/>
      <c r="CZ186" s="50"/>
      <c r="DA186" s="50"/>
      <c r="DB186" s="50"/>
      <c r="DC186" s="50"/>
      <c r="DD186" s="50"/>
      <c r="DE186" s="50"/>
      <c r="DF186" s="50"/>
      <c r="DG186" s="50"/>
      <c r="DH186" s="50"/>
      <c r="DI186" s="50"/>
      <c r="DJ186" s="50"/>
      <c r="DK186" s="50"/>
      <c r="DL186" s="50"/>
      <c r="DM186" s="50"/>
      <c r="DN186" s="50"/>
      <c r="DO186" s="50"/>
      <c r="DP186" s="50"/>
      <c r="DQ186" s="50"/>
      <c r="DR186" s="50"/>
      <c r="DS186" s="50"/>
      <c r="DT186" s="50"/>
      <c r="DU186" s="50"/>
      <c r="DV186" s="50"/>
      <c r="DW186" s="50"/>
      <c r="DX186" s="50"/>
      <c r="DY186" s="50"/>
      <c r="DZ186" s="50"/>
      <c r="EA186" s="50"/>
      <c r="EB186" s="50"/>
      <c r="EC186" s="50"/>
      <c r="ED186" s="50"/>
      <c r="EE186" s="50"/>
      <c r="EF186" s="50"/>
      <c r="EG186" s="50"/>
      <c r="EH186" s="50"/>
      <c r="EI186" s="50"/>
      <c r="EJ186" s="50"/>
      <c r="EK186" s="50"/>
      <c r="EL186" s="50"/>
      <c r="EM186" s="50"/>
      <c r="EN186" s="50"/>
      <c r="EO186" s="50"/>
      <c r="EP186" s="50"/>
      <c r="EQ186" s="50"/>
      <c r="ER186" s="50"/>
      <c r="ES186" s="50"/>
      <c r="ET186" s="50"/>
      <c r="EU186" s="50"/>
      <c r="EV186" s="50"/>
      <c r="EW186" s="50"/>
      <c r="EX186" s="50"/>
      <c r="EY186" s="50"/>
      <c r="EZ186" s="50"/>
      <c r="FA186" s="50"/>
      <c r="FB186" s="50"/>
      <c r="FC186" s="50"/>
      <c r="FD186" s="50"/>
      <c r="FE186" s="50"/>
      <c r="FF186" s="50"/>
      <c r="FG186" s="50"/>
      <c r="FH186" s="50"/>
      <c r="FI186" s="50"/>
      <c r="FJ186" s="50"/>
      <c r="FK186" s="50"/>
      <c r="FL186" s="50"/>
      <c r="FM186" s="50"/>
      <c r="FN186" s="50"/>
      <c r="FO186" s="50"/>
      <c r="FP186" s="50"/>
      <c r="FQ186" s="50"/>
      <c r="FR186" s="50"/>
      <c r="FS186" s="50"/>
      <c r="FT186" s="50"/>
      <c r="FU186" s="50"/>
      <c r="FV186" s="50"/>
      <c r="FW186" s="50"/>
      <c r="FX186" s="50"/>
      <c r="FY186" s="50"/>
      <c r="FZ186" s="50"/>
      <c r="GA186" s="50"/>
      <c r="GB186" s="50"/>
      <c r="GC186" s="50"/>
      <c r="GD186" s="50"/>
      <c r="GE186" s="50"/>
      <c r="GF186" s="50"/>
      <c r="GG186" s="50"/>
      <c r="GH186" s="50"/>
      <c r="GI186" s="50"/>
      <c r="GJ186" s="50"/>
      <c r="GK186" s="50"/>
      <c r="GL186" s="50"/>
      <c r="GM186" s="50"/>
      <c r="GN186" s="50"/>
      <c r="GO186" s="50"/>
      <c r="GP186" s="50"/>
      <c r="GQ186" s="50"/>
      <c r="GR186" s="50"/>
      <c r="GS186" s="50"/>
      <c r="GT186" s="50"/>
      <c r="GU186" s="50"/>
      <c r="GV186" s="50"/>
      <c r="GW186" s="50"/>
      <c r="GX186" s="50"/>
      <c r="GY186" s="50"/>
      <c r="GZ186" s="50"/>
      <c r="HA186" s="50"/>
    </row>
    <row r="187" s="51" customFormat="1" spans="1:209">
      <c r="A187" s="50"/>
      <c r="B187" s="50"/>
      <c r="C187" s="50"/>
      <c r="D187" s="50"/>
      <c r="E187" s="50"/>
      <c r="F187" s="50"/>
      <c r="G187" s="50"/>
      <c r="H187" s="50"/>
      <c r="I187" s="50"/>
      <c r="J187" s="50">
        <v>3560239</v>
      </c>
      <c r="K187" s="50">
        <v>18326595</v>
      </c>
      <c r="L187" s="50">
        <v>79933350</v>
      </c>
      <c r="M187" s="50">
        <v>2234429</v>
      </c>
      <c r="N187" s="50">
        <v>104054613</v>
      </c>
      <c r="O187" s="50"/>
      <c r="P187" s="63">
        <f t="shared" si="5"/>
        <v>-104054613</v>
      </c>
      <c r="Q187" s="50">
        <v>57</v>
      </c>
      <c r="R187" s="50">
        <v>91</v>
      </c>
      <c r="S187" s="50"/>
      <c r="T187" s="50"/>
      <c r="U187" s="52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50"/>
      <c r="AQ187" s="50"/>
      <c r="AR187" s="50"/>
      <c r="AS187" s="50"/>
      <c r="AT187" s="50"/>
      <c r="AU187" s="50"/>
      <c r="AV187" s="50"/>
      <c r="AW187" s="50"/>
      <c r="AX187" s="50"/>
      <c r="AY187" s="50"/>
      <c r="AZ187" s="50"/>
      <c r="BA187" s="50"/>
      <c r="BB187" s="50"/>
      <c r="BC187" s="50"/>
      <c r="BD187" s="50"/>
      <c r="BE187" s="50"/>
      <c r="BF187" s="50"/>
      <c r="BG187" s="50"/>
      <c r="BH187" s="50"/>
      <c r="BI187" s="50"/>
      <c r="BJ187" s="50"/>
      <c r="BK187" s="50"/>
      <c r="BL187" s="50"/>
      <c r="BM187" s="50"/>
      <c r="BN187" s="50"/>
      <c r="BO187" s="50"/>
      <c r="BP187" s="50"/>
      <c r="BQ187" s="50"/>
      <c r="BR187" s="50"/>
      <c r="BS187" s="50"/>
      <c r="BT187" s="50"/>
      <c r="BU187" s="50"/>
      <c r="BV187" s="50"/>
      <c r="BW187" s="50"/>
      <c r="BX187" s="50"/>
      <c r="BY187" s="50"/>
      <c r="BZ187" s="50"/>
      <c r="CA187" s="50"/>
      <c r="CB187" s="50"/>
      <c r="CC187" s="50"/>
      <c r="CD187" s="50"/>
      <c r="CE187" s="50"/>
      <c r="CF187" s="50"/>
      <c r="CG187" s="50"/>
      <c r="CH187" s="50"/>
      <c r="CI187" s="50"/>
      <c r="CJ187" s="50"/>
      <c r="CK187" s="50"/>
      <c r="CL187" s="50"/>
      <c r="CM187" s="50"/>
      <c r="CN187" s="50"/>
      <c r="CO187" s="50"/>
      <c r="CP187" s="50"/>
      <c r="CQ187" s="50"/>
      <c r="CR187" s="50"/>
      <c r="CS187" s="50"/>
      <c r="CT187" s="50"/>
      <c r="CU187" s="50"/>
      <c r="CV187" s="50"/>
      <c r="CW187" s="50"/>
      <c r="CX187" s="50"/>
      <c r="CY187" s="50"/>
      <c r="CZ187" s="50"/>
      <c r="DA187" s="50"/>
      <c r="DB187" s="50"/>
      <c r="DC187" s="50"/>
      <c r="DD187" s="50"/>
      <c r="DE187" s="50"/>
      <c r="DF187" s="50"/>
      <c r="DG187" s="50"/>
      <c r="DH187" s="50"/>
      <c r="DI187" s="50"/>
      <c r="DJ187" s="50"/>
      <c r="DK187" s="50"/>
      <c r="DL187" s="50"/>
      <c r="DM187" s="50"/>
      <c r="DN187" s="50"/>
      <c r="DO187" s="50"/>
      <c r="DP187" s="50"/>
      <c r="DQ187" s="50"/>
      <c r="DR187" s="50"/>
      <c r="DS187" s="50"/>
      <c r="DT187" s="50"/>
      <c r="DU187" s="50"/>
      <c r="DV187" s="50"/>
      <c r="DW187" s="50"/>
      <c r="DX187" s="50"/>
      <c r="DY187" s="50"/>
      <c r="DZ187" s="50"/>
      <c r="EA187" s="50"/>
      <c r="EB187" s="50"/>
      <c r="EC187" s="50"/>
      <c r="ED187" s="50"/>
      <c r="EE187" s="50"/>
      <c r="EF187" s="50"/>
      <c r="EG187" s="50"/>
      <c r="EH187" s="50"/>
      <c r="EI187" s="50"/>
      <c r="EJ187" s="50"/>
      <c r="EK187" s="50"/>
      <c r="EL187" s="50"/>
      <c r="EM187" s="50"/>
      <c r="EN187" s="50"/>
      <c r="EO187" s="50"/>
      <c r="EP187" s="50"/>
      <c r="EQ187" s="50"/>
      <c r="ER187" s="50"/>
      <c r="ES187" s="50"/>
      <c r="ET187" s="50"/>
      <c r="EU187" s="50"/>
      <c r="EV187" s="50"/>
      <c r="EW187" s="50"/>
      <c r="EX187" s="50"/>
      <c r="EY187" s="50"/>
      <c r="EZ187" s="50"/>
      <c r="FA187" s="50"/>
      <c r="FB187" s="50"/>
      <c r="FC187" s="50"/>
      <c r="FD187" s="50"/>
      <c r="FE187" s="50"/>
      <c r="FF187" s="50"/>
      <c r="FG187" s="50"/>
      <c r="FH187" s="50"/>
      <c r="FI187" s="50"/>
      <c r="FJ187" s="50"/>
      <c r="FK187" s="50"/>
      <c r="FL187" s="50"/>
      <c r="FM187" s="50"/>
      <c r="FN187" s="50"/>
      <c r="FO187" s="50"/>
      <c r="FP187" s="50"/>
      <c r="FQ187" s="50"/>
      <c r="FR187" s="50"/>
      <c r="FS187" s="50"/>
      <c r="FT187" s="50"/>
      <c r="FU187" s="50"/>
      <c r="FV187" s="50"/>
      <c r="FW187" s="50"/>
      <c r="FX187" s="50"/>
      <c r="FY187" s="50"/>
      <c r="FZ187" s="50"/>
      <c r="GA187" s="50"/>
      <c r="GB187" s="50"/>
      <c r="GC187" s="50"/>
      <c r="GD187" s="50"/>
      <c r="GE187" s="50"/>
      <c r="GF187" s="50"/>
      <c r="GG187" s="50"/>
      <c r="GH187" s="50"/>
      <c r="GI187" s="50"/>
      <c r="GJ187" s="50"/>
      <c r="GK187" s="50"/>
      <c r="GL187" s="50"/>
      <c r="GM187" s="50"/>
      <c r="GN187" s="50"/>
      <c r="GO187" s="50"/>
      <c r="GP187" s="50"/>
      <c r="GQ187" s="50"/>
      <c r="GR187" s="50"/>
      <c r="GS187" s="50"/>
      <c r="GT187" s="50"/>
      <c r="GU187" s="50"/>
      <c r="GV187" s="50"/>
      <c r="GW187" s="50"/>
      <c r="GX187" s="50"/>
      <c r="GY187" s="50"/>
      <c r="GZ187" s="50"/>
      <c r="HA187" s="50"/>
    </row>
    <row r="188" s="51" customFormat="1" spans="1:209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>
        <v>208109226</v>
      </c>
      <c r="O188" s="50"/>
      <c r="P188" s="63">
        <f t="shared" si="5"/>
        <v>-208109226</v>
      </c>
      <c r="Q188" s="50"/>
      <c r="R188" s="50"/>
      <c r="S188" s="50"/>
      <c r="T188" s="50"/>
      <c r="U188" s="52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  <c r="AQ188" s="50"/>
      <c r="AR188" s="50"/>
      <c r="AS188" s="50"/>
      <c r="AT188" s="50"/>
      <c r="AU188" s="50"/>
      <c r="AV188" s="50"/>
      <c r="AW188" s="50"/>
      <c r="AX188" s="50"/>
      <c r="AY188" s="50"/>
      <c r="AZ188" s="50"/>
      <c r="BA188" s="50"/>
      <c r="BB188" s="50"/>
      <c r="BC188" s="50"/>
      <c r="BD188" s="50"/>
      <c r="BE188" s="50"/>
      <c r="BF188" s="50"/>
      <c r="BG188" s="50"/>
      <c r="BH188" s="50"/>
      <c r="BI188" s="50"/>
      <c r="BJ188" s="50"/>
      <c r="BK188" s="50"/>
      <c r="BL188" s="50"/>
      <c r="BM188" s="50"/>
      <c r="BN188" s="50"/>
      <c r="BO188" s="50"/>
      <c r="BP188" s="50"/>
      <c r="BQ188" s="50"/>
      <c r="BR188" s="50"/>
      <c r="BS188" s="50"/>
      <c r="BT188" s="50"/>
      <c r="BU188" s="50"/>
      <c r="BV188" s="50"/>
      <c r="BW188" s="50"/>
      <c r="BX188" s="50"/>
      <c r="BY188" s="50"/>
      <c r="BZ188" s="50"/>
      <c r="CA188" s="50"/>
      <c r="CB188" s="50"/>
      <c r="CC188" s="50"/>
      <c r="CD188" s="50"/>
      <c r="CE188" s="50"/>
      <c r="CF188" s="50"/>
      <c r="CG188" s="50"/>
      <c r="CH188" s="50"/>
      <c r="CI188" s="50"/>
      <c r="CJ188" s="50"/>
      <c r="CK188" s="50"/>
      <c r="CL188" s="50"/>
      <c r="CM188" s="50"/>
      <c r="CN188" s="50"/>
      <c r="CO188" s="50"/>
      <c r="CP188" s="50"/>
      <c r="CQ188" s="50"/>
      <c r="CR188" s="50"/>
      <c r="CS188" s="50"/>
      <c r="CT188" s="50"/>
      <c r="CU188" s="50"/>
      <c r="CV188" s="50"/>
      <c r="CW188" s="50"/>
      <c r="CX188" s="50"/>
      <c r="CY188" s="50"/>
      <c r="CZ188" s="50"/>
      <c r="DA188" s="50"/>
      <c r="DB188" s="50"/>
      <c r="DC188" s="50"/>
      <c r="DD188" s="50"/>
      <c r="DE188" s="50"/>
      <c r="DF188" s="50"/>
      <c r="DG188" s="50"/>
      <c r="DH188" s="50"/>
      <c r="DI188" s="50"/>
      <c r="DJ188" s="50"/>
      <c r="DK188" s="50"/>
      <c r="DL188" s="50"/>
      <c r="DM188" s="50"/>
      <c r="DN188" s="50"/>
      <c r="DO188" s="50"/>
      <c r="DP188" s="50"/>
      <c r="DQ188" s="50"/>
      <c r="DR188" s="50"/>
      <c r="DS188" s="50"/>
      <c r="DT188" s="50"/>
      <c r="DU188" s="50"/>
      <c r="DV188" s="50"/>
      <c r="DW188" s="50"/>
      <c r="DX188" s="50"/>
      <c r="DY188" s="50"/>
      <c r="DZ188" s="50"/>
      <c r="EA188" s="50"/>
      <c r="EB188" s="50"/>
      <c r="EC188" s="50"/>
      <c r="ED188" s="50"/>
      <c r="EE188" s="50"/>
      <c r="EF188" s="50"/>
      <c r="EG188" s="50"/>
      <c r="EH188" s="50"/>
      <c r="EI188" s="50"/>
      <c r="EJ188" s="50"/>
      <c r="EK188" s="50"/>
      <c r="EL188" s="50"/>
      <c r="EM188" s="50"/>
      <c r="EN188" s="50"/>
      <c r="EO188" s="50"/>
      <c r="EP188" s="50"/>
      <c r="EQ188" s="50"/>
      <c r="ER188" s="50"/>
      <c r="ES188" s="50"/>
      <c r="ET188" s="50"/>
      <c r="EU188" s="50"/>
      <c r="EV188" s="50"/>
      <c r="EW188" s="50"/>
      <c r="EX188" s="50"/>
      <c r="EY188" s="50"/>
      <c r="EZ188" s="50"/>
      <c r="FA188" s="50"/>
      <c r="FB188" s="50"/>
      <c r="FC188" s="50"/>
      <c r="FD188" s="50"/>
      <c r="FE188" s="50"/>
      <c r="FF188" s="50"/>
      <c r="FG188" s="50"/>
      <c r="FH188" s="50"/>
      <c r="FI188" s="50"/>
      <c r="FJ188" s="50"/>
      <c r="FK188" s="50"/>
      <c r="FL188" s="50"/>
      <c r="FM188" s="50"/>
      <c r="FN188" s="50"/>
      <c r="FO188" s="50"/>
      <c r="FP188" s="50"/>
      <c r="FQ188" s="50"/>
      <c r="FR188" s="50"/>
      <c r="FS188" s="50"/>
      <c r="FT188" s="50"/>
      <c r="FU188" s="50"/>
      <c r="FV188" s="50"/>
      <c r="FW188" s="50"/>
      <c r="FX188" s="50"/>
      <c r="FY188" s="50"/>
      <c r="FZ188" s="50"/>
      <c r="GA188" s="50"/>
      <c r="GB188" s="50"/>
      <c r="GC188" s="50"/>
      <c r="GD188" s="50"/>
      <c r="GE188" s="50"/>
      <c r="GF188" s="50"/>
      <c r="GG188" s="50"/>
      <c r="GH188" s="50"/>
      <c r="GI188" s="50"/>
      <c r="GJ188" s="50"/>
      <c r="GK188" s="50"/>
      <c r="GL188" s="50"/>
      <c r="GM188" s="50"/>
      <c r="GN188" s="50"/>
      <c r="GO188" s="50"/>
      <c r="GP188" s="50"/>
      <c r="GQ188" s="50"/>
      <c r="GR188" s="50"/>
      <c r="GS188" s="50"/>
      <c r="GT188" s="50"/>
      <c r="GU188" s="50"/>
      <c r="GV188" s="50"/>
      <c r="GW188" s="50"/>
      <c r="GX188" s="50"/>
      <c r="GY188" s="50"/>
      <c r="GZ188" s="50"/>
      <c r="HA188" s="50"/>
    </row>
    <row r="189" s="51" customFormat="1" spans="1:209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>
        <v>69980818</v>
      </c>
      <c r="O189" s="50"/>
      <c r="P189" s="63">
        <f t="shared" si="5"/>
        <v>-69980818</v>
      </c>
      <c r="Q189" s="50"/>
      <c r="R189" s="50"/>
      <c r="S189" s="50"/>
      <c r="T189" s="50"/>
      <c r="U189" s="52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  <c r="AQ189" s="50"/>
      <c r="AR189" s="50"/>
      <c r="AS189" s="50"/>
      <c r="AT189" s="50"/>
      <c r="AU189" s="50"/>
      <c r="AV189" s="50"/>
      <c r="AW189" s="50"/>
      <c r="AX189" s="50"/>
      <c r="AY189" s="50"/>
      <c r="AZ189" s="50"/>
      <c r="BA189" s="50"/>
      <c r="BB189" s="50"/>
      <c r="BC189" s="50"/>
      <c r="BD189" s="50"/>
      <c r="BE189" s="50"/>
      <c r="BF189" s="50"/>
      <c r="BG189" s="50"/>
      <c r="BH189" s="50"/>
      <c r="BI189" s="50"/>
      <c r="BJ189" s="50"/>
      <c r="BK189" s="50"/>
      <c r="BL189" s="50"/>
      <c r="BM189" s="50"/>
      <c r="BN189" s="50"/>
      <c r="BO189" s="50"/>
      <c r="BP189" s="50"/>
      <c r="BQ189" s="50"/>
      <c r="BR189" s="50"/>
      <c r="BS189" s="50"/>
      <c r="BT189" s="50"/>
      <c r="BU189" s="50"/>
      <c r="BV189" s="50"/>
      <c r="BW189" s="50"/>
      <c r="BX189" s="50"/>
      <c r="BY189" s="50"/>
      <c r="BZ189" s="50"/>
      <c r="CA189" s="50"/>
      <c r="CB189" s="50"/>
      <c r="CC189" s="50"/>
      <c r="CD189" s="50"/>
      <c r="CE189" s="50"/>
      <c r="CF189" s="50"/>
      <c r="CG189" s="50"/>
      <c r="CH189" s="50"/>
      <c r="CI189" s="50"/>
      <c r="CJ189" s="50"/>
      <c r="CK189" s="50"/>
      <c r="CL189" s="50"/>
      <c r="CM189" s="50"/>
      <c r="CN189" s="50"/>
      <c r="CO189" s="50"/>
      <c r="CP189" s="50"/>
      <c r="CQ189" s="50"/>
      <c r="CR189" s="50"/>
      <c r="CS189" s="50"/>
      <c r="CT189" s="50"/>
      <c r="CU189" s="50"/>
      <c r="CV189" s="50"/>
      <c r="CW189" s="50"/>
      <c r="CX189" s="50"/>
      <c r="CY189" s="50"/>
      <c r="CZ189" s="50"/>
      <c r="DA189" s="50"/>
      <c r="DB189" s="50"/>
      <c r="DC189" s="50"/>
      <c r="DD189" s="50"/>
      <c r="DE189" s="50"/>
      <c r="DF189" s="50"/>
      <c r="DG189" s="50"/>
      <c r="DH189" s="50"/>
      <c r="DI189" s="50"/>
      <c r="DJ189" s="50"/>
      <c r="DK189" s="50"/>
      <c r="DL189" s="50"/>
      <c r="DM189" s="50"/>
      <c r="DN189" s="50"/>
      <c r="DO189" s="50"/>
      <c r="DP189" s="50"/>
      <c r="DQ189" s="50"/>
      <c r="DR189" s="50"/>
      <c r="DS189" s="50"/>
      <c r="DT189" s="50"/>
      <c r="DU189" s="50"/>
      <c r="DV189" s="50"/>
      <c r="DW189" s="50"/>
      <c r="DX189" s="50"/>
      <c r="DY189" s="50"/>
      <c r="DZ189" s="50"/>
      <c r="EA189" s="50"/>
      <c r="EB189" s="50"/>
      <c r="EC189" s="50"/>
      <c r="ED189" s="50"/>
      <c r="EE189" s="50"/>
      <c r="EF189" s="50"/>
      <c r="EG189" s="50"/>
      <c r="EH189" s="50"/>
      <c r="EI189" s="50"/>
      <c r="EJ189" s="50"/>
      <c r="EK189" s="50"/>
      <c r="EL189" s="50"/>
      <c r="EM189" s="50"/>
      <c r="EN189" s="50"/>
      <c r="EO189" s="50"/>
      <c r="EP189" s="50"/>
      <c r="EQ189" s="50"/>
      <c r="ER189" s="50"/>
      <c r="ES189" s="50"/>
      <c r="ET189" s="50"/>
      <c r="EU189" s="50"/>
      <c r="EV189" s="50"/>
      <c r="EW189" s="50"/>
      <c r="EX189" s="50"/>
      <c r="EY189" s="50"/>
      <c r="EZ189" s="50"/>
      <c r="FA189" s="50"/>
      <c r="FB189" s="50"/>
      <c r="FC189" s="50"/>
      <c r="FD189" s="50"/>
      <c r="FE189" s="50"/>
      <c r="FF189" s="50"/>
      <c r="FG189" s="50"/>
      <c r="FH189" s="50"/>
      <c r="FI189" s="50"/>
      <c r="FJ189" s="50"/>
      <c r="FK189" s="50"/>
      <c r="FL189" s="50"/>
      <c r="FM189" s="50"/>
      <c r="FN189" s="50"/>
      <c r="FO189" s="50"/>
      <c r="FP189" s="50"/>
      <c r="FQ189" s="50"/>
      <c r="FR189" s="50"/>
      <c r="FS189" s="50"/>
      <c r="FT189" s="50"/>
      <c r="FU189" s="50"/>
      <c r="FV189" s="50"/>
      <c r="FW189" s="50"/>
      <c r="FX189" s="50"/>
      <c r="FY189" s="50"/>
      <c r="FZ189" s="50"/>
      <c r="GA189" s="50"/>
      <c r="GB189" s="50"/>
      <c r="GC189" s="50"/>
      <c r="GD189" s="50"/>
      <c r="GE189" s="50"/>
      <c r="GF189" s="50"/>
      <c r="GG189" s="50"/>
      <c r="GH189" s="50"/>
      <c r="GI189" s="50"/>
      <c r="GJ189" s="50"/>
      <c r="GK189" s="50"/>
      <c r="GL189" s="50"/>
      <c r="GM189" s="50"/>
      <c r="GN189" s="50"/>
      <c r="GO189" s="50"/>
      <c r="GP189" s="50"/>
      <c r="GQ189" s="50"/>
      <c r="GR189" s="50"/>
      <c r="GS189" s="50"/>
      <c r="GT189" s="50"/>
      <c r="GU189" s="50"/>
      <c r="GV189" s="50"/>
      <c r="GW189" s="50"/>
      <c r="GX189" s="50"/>
      <c r="GY189" s="50"/>
      <c r="GZ189" s="50"/>
      <c r="HA189" s="50"/>
    </row>
  </sheetData>
  <autoFilter ref="A2:HA189">
    <extLst/>
  </autoFilter>
  <mergeCells count="3">
    <mergeCell ref="A1:F1"/>
    <mergeCell ref="H1:N1"/>
    <mergeCell ref="U1:U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6"/>
  <sheetViews>
    <sheetView topLeftCell="A13" workbookViewId="0">
      <selection activeCell="I3" sqref="I3:I31"/>
    </sheetView>
  </sheetViews>
  <sheetFormatPr defaultColWidth="7.775" defaultRowHeight="13.5"/>
  <cols>
    <col min="1" max="1" width="11.25" style="43" customWidth="1"/>
    <col min="2" max="2" width="10" style="43" customWidth="1"/>
    <col min="3" max="3" width="7.775" style="43"/>
    <col min="4" max="4" width="9.25" style="43"/>
    <col min="5" max="6" width="7.775" style="43"/>
    <col min="7" max="7" width="10.875" style="43" customWidth="1"/>
    <col min="8" max="16358" width="7.775" style="43"/>
  </cols>
  <sheetData>
    <row r="1" s="43" customFormat="1" ht="12.75" spans="1:4">
      <c r="A1" s="44" t="s">
        <v>1</v>
      </c>
      <c r="B1" s="44"/>
      <c r="C1" s="44" t="s">
        <v>5</v>
      </c>
      <c r="D1" s="43" t="s">
        <v>435</v>
      </c>
    </row>
    <row r="2" s="43" customFormat="1" ht="12.75" spans="1:4">
      <c r="A2" s="44"/>
      <c r="B2" s="44"/>
      <c r="C2" s="44" t="s">
        <v>436</v>
      </c>
      <c r="D2" s="43">
        <v>89259238</v>
      </c>
    </row>
    <row r="3" s="43" customFormat="1" ht="15" spans="1:9">
      <c r="A3" s="44" t="s">
        <v>245</v>
      </c>
      <c r="B3" s="44" t="str">
        <f>"  "&amp;A3</f>
        <v>  荔湾区</v>
      </c>
      <c r="C3" s="44" t="s">
        <v>437</v>
      </c>
      <c r="D3" s="43">
        <v>915760</v>
      </c>
      <c r="G3" s="45" t="s">
        <v>162</v>
      </c>
      <c r="H3" s="46">
        <v>245150</v>
      </c>
      <c r="I3" s="43">
        <f>VLOOKUP(G3,B:D,3,0)</f>
        <v>245150</v>
      </c>
    </row>
    <row r="4" s="43" customFormat="1" ht="15" spans="1:9">
      <c r="A4" s="44" t="s">
        <v>246</v>
      </c>
      <c r="B4" s="44" t="str">
        <f t="shared" ref="B4:B35" si="0">"  "&amp;A4</f>
        <v>  越秀区</v>
      </c>
      <c r="C4" s="44" t="s">
        <v>438</v>
      </c>
      <c r="D4" s="43">
        <v>751978</v>
      </c>
      <c r="G4" s="45" t="s">
        <v>163</v>
      </c>
      <c r="H4" s="46">
        <v>253974</v>
      </c>
      <c r="I4" s="43">
        <f t="shared" ref="I4:I31" si="1">VLOOKUP(G4,B:D,3,0)</f>
        <v>253974</v>
      </c>
    </row>
    <row r="5" s="43" customFormat="1" ht="15" spans="1:9">
      <c r="A5" s="44" t="s">
        <v>248</v>
      </c>
      <c r="B5" s="44" t="str">
        <f t="shared" si="0"/>
        <v>  海珠区</v>
      </c>
      <c r="C5" s="44" t="s">
        <v>439</v>
      </c>
      <c r="D5" s="43">
        <v>1408092</v>
      </c>
      <c r="G5" s="45" t="s">
        <v>164</v>
      </c>
      <c r="H5" s="46">
        <v>192701</v>
      </c>
      <c r="I5" s="43">
        <f t="shared" si="1"/>
        <v>192701</v>
      </c>
    </row>
    <row r="6" s="43" customFormat="1" ht="15" spans="1:9">
      <c r="A6" s="44" t="s">
        <v>250</v>
      </c>
      <c r="B6" s="44" t="str">
        <f t="shared" si="0"/>
        <v>  天河区</v>
      </c>
      <c r="C6" s="44" t="s">
        <v>440</v>
      </c>
      <c r="D6" s="43">
        <v>1752622</v>
      </c>
      <c r="G6" s="45" t="s">
        <v>165</v>
      </c>
      <c r="H6" s="46">
        <v>551138</v>
      </c>
      <c r="I6" s="43">
        <f t="shared" si="1"/>
        <v>551138</v>
      </c>
    </row>
    <row r="7" s="43" customFormat="1" ht="15" spans="1:9">
      <c r="A7" s="44" t="s">
        <v>252</v>
      </c>
      <c r="B7" s="44" t="str">
        <f t="shared" si="0"/>
        <v>  白云区</v>
      </c>
      <c r="C7" s="44" t="s">
        <v>441</v>
      </c>
      <c r="D7" s="43">
        <v>2947313</v>
      </c>
      <c r="G7" s="45" t="s">
        <v>166</v>
      </c>
      <c r="H7" s="46">
        <v>446805</v>
      </c>
      <c r="I7" s="43">
        <f t="shared" si="1"/>
        <v>446805</v>
      </c>
    </row>
    <row r="8" s="43" customFormat="1" ht="15" spans="1:9">
      <c r="A8" s="44" t="s">
        <v>254</v>
      </c>
      <c r="B8" s="44" t="str">
        <f t="shared" si="0"/>
        <v>  黄埔区</v>
      </c>
      <c r="C8" s="44" t="s">
        <v>442</v>
      </c>
      <c r="D8" s="43">
        <v>977833</v>
      </c>
      <c r="G8" s="45" t="s">
        <v>167</v>
      </c>
      <c r="H8" s="46">
        <v>620486</v>
      </c>
      <c r="I8" s="43">
        <f t="shared" si="1"/>
        <v>620486</v>
      </c>
    </row>
    <row r="9" s="43" customFormat="1" ht="15" spans="1:9">
      <c r="A9" s="44" t="s">
        <v>255</v>
      </c>
      <c r="B9" s="44" t="str">
        <f t="shared" si="0"/>
        <v>  番禺区</v>
      </c>
      <c r="C9" s="44" t="s">
        <v>443</v>
      </c>
      <c r="D9" s="43">
        <v>2081533</v>
      </c>
      <c r="G9" s="45" t="s">
        <v>168</v>
      </c>
      <c r="H9" s="46">
        <v>170665</v>
      </c>
      <c r="I9" s="43">
        <f t="shared" si="1"/>
        <v>170665</v>
      </c>
    </row>
    <row r="10" s="43" customFormat="1" ht="15" spans="1:9">
      <c r="A10" s="44" t="s">
        <v>256</v>
      </c>
      <c r="B10" s="44" t="str">
        <f t="shared" si="0"/>
        <v>  花都区</v>
      </c>
      <c r="C10" s="44" t="s">
        <v>444</v>
      </c>
      <c r="D10" s="43">
        <v>1219241</v>
      </c>
      <c r="G10" s="45" t="s">
        <v>169</v>
      </c>
      <c r="H10" s="46">
        <v>1025369</v>
      </c>
      <c r="I10" s="43">
        <f t="shared" si="1"/>
        <v>1025369</v>
      </c>
    </row>
    <row r="11" s="43" customFormat="1" ht="15" spans="1:9">
      <c r="A11" s="44" t="s">
        <v>258</v>
      </c>
      <c r="B11" s="44" t="str">
        <f t="shared" si="0"/>
        <v>  南沙区</v>
      </c>
      <c r="C11" s="44" t="s">
        <v>445</v>
      </c>
      <c r="D11" s="43">
        <v>651341</v>
      </c>
      <c r="G11" s="45" t="s">
        <v>170</v>
      </c>
      <c r="H11" s="46">
        <v>744957</v>
      </c>
      <c r="I11" s="43">
        <f t="shared" si="1"/>
        <v>744957</v>
      </c>
    </row>
    <row r="12" s="43" customFormat="1" ht="15" spans="1:9">
      <c r="A12" s="44" t="s">
        <v>262</v>
      </c>
      <c r="B12" s="44" t="str">
        <f t="shared" si="0"/>
        <v>  从化区</v>
      </c>
      <c r="C12" s="44" t="s">
        <v>446</v>
      </c>
      <c r="D12" s="43">
        <v>475807</v>
      </c>
      <c r="G12" s="45" t="s">
        <v>171</v>
      </c>
      <c r="H12" s="46">
        <v>275596</v>
      </c>
      <c r="I12" s="43">
        <f t="shared" si="1"/>
        <v>275596</v>
      </c>
    </row>
    <row r="13" s="43" customFormat="1" ht="15" spans="1:9">
      <c r="A13" s="44" t="s">
        <v>260</v>
      </c>
      <c r="B13" s="44" t="str">
        <f t="shared" si="0"/>
        <v>  增城区</v>
      </c>
      <c r="C13" s="44" t="s">
        <v>447</v>
      </c>
      <c r="D13" s="43">
        <v>1037619</v>
      </c>
      <c r="G13" s="45" t="s">
        <v>172</v>
      </c>
      <c r="H13" s="46">
        <v>431264</v>
      </c>
      <c r="I13" s="43">
        <f t="shared" si="1"/>
        <v>431264</v>
      </c>
    </row>
    <row r="14" s="43" customFormat="1" ht="15" spans="1:9">
      <c r="A14" s="44" t="s">
        <v>264</v>
      </c>
      <c r="B14" s="47" t="str">
        <f t="shared" si="0"/>
        <v>  武江区</v>
      </c>
      <c r="C14" s="44" t="s">
        <v>448</v>
      </c>
      <c r="D14" s="43">
        <v>253974</v>
      </c>
      <c r="G14" s="45" t="s">
        <v>173</v>
      </c>
      <c r="H14" s="46">
        <v>212622</v>
      </c>
      <c r="I14" s="43">
        <f t="shared" si="1"/>
        <v>212622</v>
      </c>
    </row>
    <row r="15" s="43" customFormat="1" ht="15" spans="1:9">
      <c r="A15" s="44" t="s">
        <v>266</v>
      </c>
      <c r="B15" s="48" t="s">
        <v>162</v>
      </c>
      <c r="C15" s="44" t="s">
        <v>449</v>
      </c>
      <c r="D15" s="43">
        <v>245150</v>
      </c>
      <c r="G15" s="45" t="s">
        <v>174</v>
      </c>
      <c r="H15" s="46">
        <v>319607</v>
      </c>
      <c r="I15" s="43">
        <f t="shared" si="1"/>
        <v>319607</v>
      </c>
    </row>
    <row r="16" s="43" customFormat="1" ht="15" spans="1:9">
      <c r="A16" s="44" t="s">
        <v>268</v>
      </c>
      <c r="B16" s="47" t="str">
        <f t="shared" si="0"/>
        <v>  曲江区</v>
      </c>
      <c r="C16" s="44" t="s">
        <v>450</v>
      </c>
      <c r="D16" s="43">
        <v>192701</v>
      </c>
      <c r="G16" s="45" t="s">
        <v>175</v>
      </c>
      <c r="H16" s="46">
        <v>650822</v>
      </c>
      <c r="I16" s="43">
        <f t="shared" si="1"/>
        <v>650822</v>
      </c>
    </row>
    <row r="17" s="43" customFormat="1" ht="15" spans="1:9">
      <c r="A17" s="44" t="s">
        <v>257</v>
      </c>
      <c r="B17" s="44" t="str">
        <f t="shared" si="0"/>
        <v>  始兴县</v>
      </c>
      <c r="C17" s="44" t="s">
        <v>451</v>
      </c>
      <c r="D17" s="43">
        <v>128153</v>
      </c>
      <c r="G17" s="45" t="s">
        <v>176</v>
      </c>
      <c r="H17" s="46">
        <v>893200</v>
      </c>
      <c r="I17" s="43">
        <f t="shared" si="1"/>
        <v>893200</v>
      </c>
    </row>
    <row r="18" s="43" customFormat="1" ht="15" spans="1:9">
      <c r="A18" s="44" t="s">
        <v>259</v>
      </c>
      <c r="B18" s="44" t="str">
        <f t="shared" si="0"/>
        <v>  仁化县</v>
      </c>
      <c r="C18" s="44" t="s">
        <v>452</v>
      </c>
      <c r="D18" s="43">
        <v>120986</v>
      </c>
      <c r="G18" s="45" t="s">
        <v>177</v>
      </c>
      <c r="H18" s="46">
        <v>290798</v>
      </c>
      <c r="I18" s="43">
        <f t="shared" si="1"/>
        <v>290798</v>
      </c>
    </row>
    <row r="19" s="43" customFormat="1" ht="15" spans="1:9">
      <c r="A19" s="44" t="s">
        <v>261</v>
      </c>
      <c r="B19" s="44" t="str">
        <f t="shared" si="0"/>
        <v>  翁源县</v>
      </c>
      <c r="C19" s="44" t="s">
        <v>453</v>
      </c>
      <c r="D19" s="43">
        <v>203502</v>
      </c>
      <c r="G19" s="45" t="s">
        <v>178</v>
      </c>
      <c r="H19" s="46">
        <v>370105</v>
      </c>
      <c r="I19" s="43">
        <f t="shared" si="1"/>
        <v>370105</v>
      </c>
    </row>
    <row r="20" s="43" customFormat="1" ht="15" spans="1:9">
      <c r="A20" s="44" t="s">
        <v>263</v>
      </c>
      <c r="B20" s="44" t="str">
        <f t="shared" si="0"/>
        <v>  乳源瑶族自治县</v>
      </c>
      <c r="C20" s="44" t="s">
        <v>454</v>
      </c>
      <c r="D20" s="43">
        <v>120021</v>
      </c>
      <c r="G20" s="45" t="s">
        <v>179</v>
      </c>
      <c r="H20" s="46">
        <v>300172</v>
      </c>
      <c r="I20" s="43">
        <f t="shared" si="1"/>
        <v>300172</v>
      </c>
    </row>
    <row r="21" s="43" customFormat="1" ht="15" spans="1:9">
      <c r="A21" s="44" t="s">
        <v>265</v>
      </c>
      <c r="B21" s="44" t="str">
        <f t="shared" si="0"/>
        <v>  新丰县</v>
      </c>
      <c r="C21" s="44" t="s">
        <v>455</v>
      </c>
      <c r="D21" s="43">
        <v>126073</v>
      </c>
      <c r="G21" s="45" t="s">
        <v>180</v>
      </c>
      <c r="H21" s="46">
        <v>468130</v>
      </c>
      <c r="I21" s="43">
        <f t="shared" si="1"/>
        <v>468130</v>
      </c>
    </row>
    <row r="22" s="43" customFormat="1" ht="15" spans="1:9">
      <c r="A22" s="44" t="s">
        <v>267</v>
      </c>
      <c r="B22" s="44" t="str">
        <f t="shared" si="0"/>
        <v>  乐昌市</v>
      </c>
      <c r="C22" s="44" t="s">
        <v>456</v>
      </c>
      <c r="D22" s="43">
        <v>240981</v>
      </c>
      <c r="G22" s="45" t="s">
        <v>181</v>
      </c>
      <c r="H22" s="46">
        <v>553451</v>
      </c>
      <c r="I22" s="43">
        <f t="shared" si="1"/>
        <v>553451</v>
      </c>
    </row>
    <row r="23" s="43" customFormat="1" ht="15" spans="1:9">
      <c r="A23" s="44" t="s">
        <v>269</v>
      </c>
      <c r="B23" s="44" t="str">
        <f t="shared" si="0"/>
        <v>  南雄市</v>
      </c>
      <c r="C23" s="44" t="s">
        <v>457</v>
      </c>
      <c r="D23" s="43">
        <v>229043</v>
      </c>
      <c r="G23" s="45" t="s">
        <v>182</v>
      </c>
      <c r="H23" s="46">
        <v>320108</v>
      </c>
      <c r="I23" s="43">
        <f t="shared" si="1"/>
        <v>320108</v>
      </c>
    </row>
    <row r="24" s="43" customFormat="1" ht="15" spans="1:9">
      <c r="A24" s="44" t="s">
        <v>275</v>
      </c>
      <c r="B24" s="44" t="str">
        <f t="shared" si="0"/>
        <v>  罗湖区</v>
      </c>
      <c r="C24" s="44" t="s">
        <v>458</v>
      </c>
      <c r="D24" s="43">
        <v>872410</v>
      </c>
      <c r="G24" s="49" t="s">
        <v>183</v>
      </c>
      <c r="H24" s="46">
        <v>744522</v>
      </c>
      <c r="I24" s="43">
        <f t="shared" si="1"/>
        <v>744522</v>
      </c>
    </row>
    <row r="25" s="43" customFormat="1" ht="15" spans="1:9">
      <c r="A25" s="44" t="s">
        <v>277</v>
      </c>
      <c r="B25" s="44" t="str">
        <f t="shared" si="0"/>
        <v>  福田区</v>
      </c>
      <c r="C25" s="44" t="s">
        <v>459</v>
      </c>
      <c r="D25" s="43">
        <v>1200215</v>
      </c>
      <c r="G25" s="45" t="s">
        <v>184</v>
      </c>
      <c r="H25" s="46">
        <v>400500</v>
      </c>
      <c r="I25" s="43">
        <f t="shared" si="1"/>
        <v>400500</v>
      </c>
    </row>
    <row r="26" s="43" customFormat="1" ht="15" spans="1:9">
      <c r="A26" s="44" t="s">
        <v>279</v>
      </c>
      <c r="B26" s="44" t="str">
        <f t="shared" si="0"/>
        <v>  南山区</v>
      </c>
      <c r="C26" s="44" t="s">
        <v>460</v>
      </c>
      <c r="D26" s="43">
        <v>1408220</v>
      </c>
      <c r="G26" s="45" t="s">
        <v>185</v>
      </c>
      <c r="H26" s="46">
        <v>401060</v>
      </c>
      <c r="I26" s="43">
        <f t="shared" si="1"/>
        <v>401060</v>
      </c>
    </row>
    <row r="27" s="43" customFormat="1" ht="15" spans="1:9">
      <c r="A27" s="44" t="s">
        <v>280</v>
      </c>
      <c r="B27" s="44" t="str">
        <f t="shared" si="0"/>
        <v>  宝安区</v>
      </c>
      <c r="C27" s="44" t="s">
        <v>461</v>
      </c>
      <c r="D27" s="43">
        <v>3656929</v>
      </c>
      <c r="G27" s="45" t="s">
        <v>186</v>
      </c>
      <c r="H27" s="46">
        <v>815538</v>
      </c>
      <c r="I27" s="43">
        <f t="shared" si="1"/>
        <v>815538</v>
      </c>
    </row>
    <row r="28" s="43" customFormat="1" ht="15" spans="1:9">
      <c r="A28" s="44" t="s">
        <v>281</v>
      </c>
      <c r="B28" s="44" t="str">
        <f t="shared" si="0"/>
        <v>  龙岗区</v>
      </c>
      <c r="C28" s="44" t="s">
        <v>462</v>
      </c>
      <c r="D28" s="43">
        <v>3240775</v>
      </c>
      <c r="G28" s="45" t="s">
        <v>187</v>
      </c>
      <c r="H28" s="46">
        <v>626061</v>
      </c>
      <c r="I28" s="43">
        <f t="shared" si="1"/>
        <v>626061</v>
      </c>
    </row>
    <row r="29" s="43" customFormat="1" ht="15" spans="1:9">
      <c r="A29" s="44" t="s">
        <v>283</v>
      </c>
      <c r="B29" s="44" t="str">
        <f t="shared" si="0"/>
        <v>  盐田区</v>
      </c>
      <c r="C29" s="44" t="s">
        <v>463</v>
      </c>
      <c r="D29" s="43">
        <v>162285</v>
      </c>
      <c r="G29" s="45" t="s">
        <v>188</v>
      </c>
      <c r="H29" s="46">
        <v>601991</v>
      </c>
      <c r="I29" s="43">
        <f t="shared" si="1"/>
        <v>601991</v>
      </c>
    </row>
    <row r="30" s="43" customFormat="1" ht="15" spans="1:9">
      <c r="A30" s="44" t="s">
        <v>285</v>
      </c>
      <c r="B30" s="44" t="str">
        <f t="shared" si="0"/>
        <v>  龙华区</v>
      </c>
      <c r="C30" s="44" t="s">
        <v>464</v>
      </c>
      <c r="D30" s="43">
        <v>2059503</v>
      </c>
      <c r="G30" s="45" t="s">
        <v>189</v>
      </c>
      <c r="H30" s="46">
        <v>267092</v>
      </c>
      <c r="I30" s="43">
        <f t="shared" si="1"/>
        <v>267092</v>
      </c>
    </row>
    <row r="31" s="43" customFormat="1" ht="15" spans="1:9">
      <c r="A31" s="44" t="s">
        <v>287</v>
      </c>
      <c r="B31" s="44" t="str">
        <f t="shared" si="0"/>
        <v>  坪山区</v>
      </c>
      <c r="C31" s="44" t="s">
        <v>465</v>
      </c>
      <c r="D31" s="43">
        <v>430171</v>
      </c>
      <c r="G31" s="45" t="s">
        <v>190</v>
      </c>
      <c r="H31" s="46">
        <v>144665</v>
      </c>
      <c r="I31" s="43">
        <f t="shared" si="1"/>
        <v>144665</v>
      </c>
    </row>
    <row r="32" s="43" customFormat="1" ht="12.75" spans="1:4">
      <c r="A32" s="44" t="s">
        <v>289</v>
      </c>
      <c r="B32" s="44" t="str">
        <f t="shared" si="0"/>
        <v>  光明区</v>
      </c>
      <c r="C32" s="44" t="s">
        <v>466</v>
      </c>
      <c r="D32" s="43">
        <v>897863</v>
      </c>
    </row>
    <row r="33" s="43" customFormat="1" ht="12.75" spans="1:4">
      <c r="A33" s="44" t="s">
        <v>292</v>
      </c>
      <c r="B33" s="44" t="str">
        <f t="shared" si="0"/>
        <v>  香洲区</v>
      </c>
      <c r="C33" s="44" t="s">
        <v>467</v>
      </c>
      <c r="D33" s="43">
        <v>1049493</v>
      </c>
    </row>
    <row r="34" s="43" customFormat="1" ht="12.75" spans="1:4">
      <c r="A34" s="44" t="s">
        <v>293</v>
      </c>
      <c r="B34" s="44" t="str">
        <f t="shared" si="0"/>
        <v>  斗门区</v>
      </c>
      <c r="C34" s="44" t="s">
        <v>468</v>
      </c>
      <c r="D34" s="43">
        <v>449469</v>
      </c>
    </row>
    <row r="35" s="43" customFormat="1" ht="12.75" spans="1:4">
      <c r="A35" s="44" t="s">
        <v>295</v>
      </c>
      <c r="B35" s="44" t="str">
        <f t="shared" si="0"/>
        <v>  金湾区</v>
      </c>
      <c r="C35" s="44" t="s">
        <v>469</v>
      </c>
      <c r="D35" s="43">
        <v>333862</v>
      </c>
    </row>
    <row r="36" s="43" customFormat="1" ht="12.75" spans="1:4">
      <c r="A36" s="44" t="s">
        <v>297</v>
      </c>
      <c r="B36" s="47" t="str">
        <f t="shared" ref="B36:B67" si="2">"  "&amp;A36</f>
        <v>  龙湖区</v>
      </c>
      <c r="C36" s="44" t="s">
        <v>470</v>
      </c>
      <c r="D36" s="43">
        <v>446805</v>
      </c>
    </row>
    <row r="37" s="43" customFormat="1" ht="12.75" spans="1:4">
      <c r="A37" s="44" t="s">
        <v>299</v>
      </c>
      <c r="B37" s="47" t="str">
        <f t="shared" si="2"/>
        <v>  金平区</v>
      </c>
      <c r="C37" s="44" t="s">
        <v>471</v>
      </c>
      <c r="D37" s="43">
        <v>551138</v>
      </c>
    </row>
    <row r="38" s="43" customFormat="1" ht="12.75" spans="1:4">
      <c r="A38" s="44" t="s">
        <v>300</v>
      </c>
      <c r="B38" s="47" t="str">
        <f t="shared" si="2"/>
        <v>  濠江区</v>
      </c>
      <c r="C38" s="44" t="s">
        <v>472</v>
      </c>
      <c r="D38" s="43">
        <v>170665</v>
      </c>
    </row>
    <row r="39" s="43" customFormat="1" ht="12.75" spans="1:4">
      <c r="A39" s="44" t="s">
        <v>301</v>
      </c>
      <c r="B39" s="47" t="str">
        <f t="shared" si="2"/>
        <v>  潮阳区</v>
      </c>
      <c r="C39" s="44" t="s">
        <v>473</v>
      </c>
      <c r="D39" s="43">
        <v>1025369</v>
      </c>
    </row>
    <row r="40" s="43" customFormat="1" ht="12.75" spans="1:4">
      <c r="A40" s="44" t="s">
        <v>303</v>
      </c>
      <c r="B40" s="47" t="str">
        <f t="shared" si="2"/>
        <v>  潮南区</v>
      </c>
      <c r="C40" s="44" t="s">
        <v>474</v>
      </c>
      <c r="D40" s="43">
        <v>744957</v>
      </c>
    </row>
    <row r="41" s="43" customFormat="1" ht="12.75" spans="1:4">
      <c r="A41" s="44" t="s">
        <v>305</v>
      </c>
      <c r="B41" s="47" t="str">
        <f t="shared" si="2"/>
        <v>  澄海区</v>
      </c>
      <c r="C41" s="44" t="s">
        <v>475</v>
      </c>
      <c r="D41" s="43">
        <v>620486</v>
      </c>
    </row>
    <row r="42" s="43" customFormat="1" ht="12.75" spans="1:4">
      <c r="A42" s="44" t="s">
        <v>271</v>
      </c>
      <c r="B42" s="44" t="str">
        <f t="shared" si="2"/>
        <v>  南澳县</v>
      </c>
      <c r="C42" s="44" t="s">
        <v>476</v>
      </c>
      <c r="D42" s="43">
        <v>46196</v>
      </c>
    </row>
    <row r="43" s="43" customFormat="1" ht="12.75" spans="1:4">
      <c r="A43" s="44" t="s">
        <v>367</v>
      </c>
      <c r="B43" s="44" t="str">
        <f t="shared" si="2"/>
        <v>  禅城区</v>
      </c>
      <c r="C43" s="44" t="s">
        <v>477</v>
      </c>
      <c r="D43" s="43">
        <v>1019663</v>
      </c>
    </row>
    <row r="44" s="43" customFormat="1" ht="12.75" spans="1:4">
      <c r="A44" s="44" t="s">
        <v>368</v>
      </c>
      <c r="B44" s="44" t="str">
        <f t="shared" si="2"/>
        <v>  南海区</v>
      </c>
      <c r="C44" s="44" t="s">
        <v>478</v>
      </c>
      <c r="D44" s="43">
        <v>2802607</v>
      </c>
    </row>
    <row r="45" s="43" customFormat="1" ht="12.75" spans="1:4">
      <c r="A45" s="44" t="s">
        <v>369</v>
      </c>
      <c r="B45" s="44" t="str">
        <f t="shared" si="2"/>
        <v>  顺德区</v>
      </c>
      <c r="C45" s="44" t="s">
        <v>479</v>
      </c>
      <c r="D45" s="43">
        <v>2467701</v>
      </c>
    </row>
    <row r="46" s="43" customFormat="1" ht="12.75" spans="1:4">
      <c r="A46" s="44" t="s">
        <v>370</v>
      </c>
      <c r="B46" s="44" t="str">
        <f t="shared" si="2"/>
        <v>  三水区</v>
      </c>
      <c r="C46" s="44" t="s">
        <v>480</v>
      </c>
      <c r="D46" s="43">
        <v>594916</v>
      </c>
    </row>
    <row r="47" s="43" customFormat="1" ht="12.75" spans="1:4">
      <c r="A47" s="44" t="s">
        <v>371</v>
      </c>
      <c r="B47" s="44" t="str">
        <f t="shared" si="2"/>
        <v>  高明区</v>
      </c>
      <c r="C47" s="44" t="s">
        <v>481</v>
      </c>
      <c r="D47" s="43">
        <v>340897</v>
      </c>
    </row>
    <row r="48" s="43" customFormat="1" ht="12.75" spans="1:4">
      <c r="A48" s="44" t="s">
        <v>358</v>
      </c>
      <c r="B48" s="44" t="str">
        <f t="shared" si="2"/>
        <v>  蓬江区</v>
      </c>
      <c r="C48" s="44" t="s">
        <v>482</v>
      </c>
      <c r="D48" s="43">
        <v>614730</v>
      </c>
    </row>
    <row r="49" s="43" customFormat="1" ht="12.75" spans="1:4">
      <c r="A49" s="44" t="s">
        <v>359</v>
      </c>
      <c r="B49" s="44" t="str">
        <f t="shared" si="2"/>
        <v>  江海区</v>
      </c>
      <c r="C49" s="44" t="s">
        <v>483</v>
      </c>
      <c r="D49" s="43">
        <v>265532</v>
      </c>
    </row>
    <row r="50" s="43" customFormat="1" ht="12.75" spans="1:4">
      <c r="A50" s="44" t="s">
        <v>360</v>
      </c>
      <c r="B50" s="44" t="str">
        <f t="shared" si="2"/>
        <v>  新会区</v>
      </c>
      <c r="C50" s="44" t="s">
        <v>484</v>
      </c>
      <c r="D50" s="43">
        <v>650576</v>
      </c>
    </row>
    <row r="51" s="43" customFormat="1" ht="12.75" spans="1:4">
      <c r="A51" s="44" t="s">
        <v>273</v>
      </c>
      <c r="B51" s="44" t="str">
        <f t="shared" si="2"/>
        <v>  台山市</v>
      </c>
      <c r="C51" s="44" t="s">
        <v>485</v>
      </c>
      <c r="D51" s="43">
        <v>649594</v>
      </c>
    </row>
    <row r="52" s="43" customFormat="1" ht="12.75" spans="1:4">
      <c r="A52" s="44" t="s">
        <v>274</v>
      </c>
      <c r="B52" s="44" t="str">
        <f t="shared" si="2"/>
        <v>  开平市</v>
      </c>
      <c r="C52" s="44" t="s">
        <v>486</v>
      </c>
      <c r="D52" s="43">
        <v>527010</v>
      </c>
    </row>
    <row r="53" s="43" customFormat="1" ht="12.75" spans="1:4">
      <c r="A53" s="44" t="s">
        <v>276</v>
      </c>
      <c r="B53" s="44" t="str">
        <f t="shared" si="2"/>
        <v>  鹤山市</v>
      </c>
      <c r="C53" s="44" t="s">
        <v>487</v>
      </c>
      <c r="D53" s="43">
        <v>381458</v>
      </c>
    </row>
    <row r="54" s="43" customFormat="1" ht="12.75" spans="1:4">
      <c r="A54" s="44" t="s">
        <v>278</v>
      </c>
      <c r="B54" s="44" t="str">
        <f t="shared" si="2"/>
        <v>  恩平市</v>
      </c>
      <c r="C54" s="44" t="s">
        <v>488</v>
      </c>
      <c r="D54" s="43">
        <v>343851</v>
      </c>
    </row>
    <row r="55" s="43" customFormat="1" ht="12.75" spans="1:4">
      <c r="A55" s="44" t="s">
        <v>339</v>
      </c>
      <c r="B55" s="47" t="str">
        <f t="shared" si="2"/>
        <v>  赤坎区</v>
      </c>
      <c r="C55" s="44" t="s">
        <v>489</v>
      </c>
      <c r="D55" s="43">
        <v>275596</v>
      </c>
    </row>
    <row r="56" s="43" customFormat="1" ht="12.75" spans="1:4">
      <c r="A56" s="44" t="s">
        <v>341</v>
      </c>
      <c r="B56" s="47" t="str">
        <f t="shared" si="2"/>
        <v>  霞山区</v>
      </c>
      <c r="C56" s="44" t="s">
        <v>490</v>
      </c>
      <c r="D56" s="43">
        <v>431264</v>
      </c>
    </row>
    <row r="57" s="43" customFormat="1" ht="12.75" spans="1:4">
      <c r="A57" s="44" t="s">
        <v>343</v>
      </c>
      <c r="B57" s="47" t="str">
        <f t="shared" si="2"/>
        <v>  坡头区</v>
      </c>
      <c r="C57" s="44" t="s">
        <v>491</v>
      </c>
      <c r="D57" s="43">
        <v>212622</v>
      </c>
    </row>
    <row r="58" s="43" customFormat="1" ht="12.75" spans="1:4">
      <c r="A58" s="44" t="s">
        <v>345</v>
      </c>
      <c r="B58" s="47" t="str">
        <f t="shared" si="2"/>
        <v>  麻章区</v>
      </c>
      <c r="C58" s="44" t="s">
        <v>492</v>
      </c>
      <c r="D58" s="43">
        <v>319607</v>
      </c>
    </row>
    <row r="59" s="43" customFormat="1" ht="12.75" spans="1:4">
      <c r="A59" s="44" t="s">
        <v>282</v>
      </c>
      <c r="B59" s="44" t="str">
        <f t="shared" si="2"/>
        <v>  遂溪县</v>
      </c>
      <c r="C59" s="44" t="s">
        <v>493</v>
      </c>
      <c r="D59" s="43">
        <v>497405</v>
      </c>
    </row>
    <row r="60" s="43" customFormat="1" ht="12.75" spans="1:4">
      <c r="A60" s="44" t="s">
        <v>284</v>
      </c>
      <c r="B60" s="44" t="str">
        <f t="shared" si="2"/>
        <v>  徐闻县</v>
      </c>
      <c r="C60" s="44" t="s">
        <v>494</v>
      </c>
      <c r="D60" s="43">
        <v>387606</v>
      </c>
    </row>
    <row r="61" s="43" customFormat="1" ht="12.75" spans="1:4">
      <c r="A61" s="44" t="s">
        <v>286</v>
      </c>
      <c r="B61" s="44" t="str">
        <f t="shared" si="2"/>
        <v>  廉江市</v>
      </c>
      <c r="C61" s="44" t="s">
        <v>495</v>
      </c>
      <c r="D61" s="43">
        <v>792270</v>
      </c>
    </row>
    <row r="62" s="43" customFormat="1" ht="12.75" spans="1:4">
      <c r="A62" s="44" t="s">
        <v>288</v>
      </c>
      <c r="B62" s="44" t="str">
        <f t="shared" si="2"/>
        <v>  雷州市</v>
      </c>
      <c r="C62" s="44" t="s">
        <v>496</v>
      </c>
      <c r="D62" s="43">
        <v>775857</v>
      </c>
    </row>
    <row r="63" s="43" customFormat="1" ht="12.75" spans="1:4">
      <c r="A63" s="44" t="s">
        <v>290</v>
      </c>
      <c r="B63" s="44" t="str">
        <f t="shared" si="2"/>
        <v>  吴川市</v>
      </c>
      <c r="C63" s="44" t="s">
        <v>497</v>
      </c>
      <c r="D63" s="43">
        <v>547387</v>
      </c>
    </row>
    <row r="64" s="43" customFormat="1" ht="12.75" spans="1:4">
      <c r="A64" s="44" t="s">
        <v>350</v>
      </c>
      <c r="B64" s="47" t="str">
        <f t="shared" si="2"/>
        <v>  茂南区</v>
      </c>
      <c r="C64" s="44" t="s">
        <v>498</v>
      </c>
      <c r="D64" s="43">
        <v>650822</v>
      </c>
    </row>
    <row r="65" s="43" customFormat="1" ht="12.75" spans="1:4">
      <c r="A65" s="44" t="s">
        <v>351</v>
      </c>
      <c r="B65" s="47" t="str">
        <f t="shared" si="2"/>
        <v>  电白区</v>
      </c>
      <c r="C65" s="44" t="s">
        <v>499</v>
      </c>
      <c r="D65" s="43">
        <v>893200</v>
      </c>
    </row>
    <row r="66" s="43" customFormat="1" ht="12.75" spans="1:4">
      <c r="A66" s="44" t="s">
        <v>294</v>
      </c>
      <c r="B66" s="44" t="str">
        <f t="shared" si="2"/>
        <v>  高州市</v>
      </c>
      <c r="C66" s="44" t="s">
        <v>500</v>
      </c>
      <c r="D66" s="43">
        <v>766406</v>
      </c>
    </row>
    <row r="67" s="43" customFormat="1" ht="12.75" spans="1:4">
      <c r="A67" s="44" t="s">
        <v>296</v>
      </c>
      <c r="B67" s="44" t="str">
        <f t="shared" si="2"/>
        <v>  化州市</v>
      </c>
      <c r="C67" s="44" t="s">
        <v>501</v>
      </c>
      <c r="D67" s="43">
        <v>717342</v>
      </c>
    </row>
    <row r="68" s="43" customFormat="1" ht="12.75" spans="1:4">
      <c r="A68" s="44" t="s">
        <v>298</v>
      </c>
      <c r="B68" s="44" t="str">
        <f t="shared" ref="B68:B99" si="3">"  "&amp;A68</f>
        <v>  信宜市</v>
      </c>
      <c r="C68" s="44" t="s">
        <v>502</v>
      </c>
      <c r="D68" s="43">
        <v>574175</v>
      </c>
    </row>
    <row r="69" s="43" customFormat="1" ht="12.75" spans="1:4">
      <c r="A69" s="44" t="s">
        <v>372</v>
      </c>
      <c r="B69" s="44" t="str">
        <f t="shared" si="3"/>
        <v>  端州区</v>
      </c>
      <c r="C69" s="44" t="s">
        <v>503</v>
      </c>
      <c r="D69" s="43">
        <v>390325</v>
      </c>
    </row>
    <row r="70" s="43" customFormat="1" ht="12.75" spans="1:4">
      <c r="A70" s="44" t="s">
        <v>373</v>
      </c>
      <c r="B70" s="44" t="str">
        <f t="shared" si="3"/>
        <v>  鼎湖区</v>
      </c>
      <c r="C70" s="44" t="s">
        <v>504</v>
      </c>
      <c r="D70" s="43">
        <v>139677</v>
      </c>
    </row>
    <row r="71" s="43" customFormat="1" ht="12.75" spans="1:4">
      <c r="A71" s="44" t="s">
        <v>374</v>
      </c>
      <c r="B71" s="44" t="str">
        <f t="shared" si="3"/>
        <v>  高要区</v>
      </c>
      <c r="C71" s="44" t="s">
        <v>505</v>
      </c>
      <c r="D71" s="43">
        <v>492109</v>
      </c>
    </row>
    <row r="72" s="43" customFormat="1" ht="12.75" spans="1:4">
      <c r="A72" s="44" t="s">
        <v>302</v>
      </c>
      <c r="B72" s="44" t="str">
        <f t="shared" si="3"/>
        <v>  广宁县</v>
      </c>
      <c r="C72" s="44" t="s">
        <v>506</v>
      </c>
      <c r="D72" s="43">
        <v>258056</v>
      </c>
    </row>
    <row r="73" s="43" customFormat="1" ht="12.75" spans="1:4">
      <c r="A73" s="44" t="s">
        <v>304</v>
      </c>
      <c r="B73" s="44" t="str">
        <f t="shared" si="3"/>
        <v>  怀集县</v>
      </c>
      <c r="C73" s="44" t="s">
        <v>507</v>
      </c>
      <c r="D73" s="43">
        <v>472739</v>
      </c>
    </row>
    <row r="74" s="43" customFormat="1" ht="12.75" spans="1:4">
      <c r="A74" s="44" t="s">
        <v>306</v>
      </c>
      <c r="B74" s="44" t="str">
        <f t="shared" si="3"/>
        <v>  封开县</v>
      </c>
      <c r="C74" s="44" t="s">
        <v>508</v>
      </c>
      <c r="D74" s="43">
        <v>228974</v>
      </c>
    </row>
    <row r="75" s="43" customFormat="1" ht="12.75" spans="1:4">
      <c r="A75" s="44" t="s">
        <v>307</v>
      </c>
      <c r="B75" s="44" t="str">
        <f t="shared" si="3"/>
        <v>  德庆县</v>
      </c>
      <c r="C75" s="44" t="s">
        <v>509</v>
      </c>
      <c r="D75" s="43">
        <v>207985</v>
      </c>
    </row>
    <row r="76" s="43" customFormat="1" ht="12.75" spans="1:4">
      <c r="A76" s="44" t="s">
        <v>309</v>
      </c>
      <c r="B76" s="44" t="str">
        <f t="shared" si="3"/>
        <v>  四会市</v>
      </c>
      <c r="C76" s="44" t="s">
        <v>510</v>
      </c>
      <c r="D76" s="43">
        <v>451885</v>
      </c>
    </row>
    <row r="77" s="43" customFormat="1" ht="12.75" spans="1:4">
      <c r="A77" s="44" t="s">
        <v>361</v>
      </c>
      <c r="B77" s="44" t="str">
        <f t="shared" si="3"/>
        <v>  惠城区</v>
      </c>
      <c r="C77" s="44" t="s">
        <v>511</v>
      </c>
      <c r="D77" s="43">
        <v>1444347</v>
      </c>
    </row>
    <row r="78" s="43" customFormat="1" ht="12.75" spans="1:4">
      <c r="A78" s="44" t="s">
        <v>362</v>
      </c>
      <c r="B78" s="44" t="str">
        <f t="shared" si="3"/>
        <v>  惠阳区</v>
      </c>
      <c r="C78" s="44" t="s">
        <v>512</v>
      </c>
      <c r="D78" s="43">
        <v>1047929</v>
      </c>
    </row>
    <row r="79" s="43" customFormat="1" ht="12.75" spans="1:4">
      <c r="A79" s="44" t="s">
        <v>313</v>
      </c>
      <c r="B79" s="44" t="str">
        <f t="shared" si="3"/>
        <v>  博罗县</v>
      </c>
      <c r="C79" s="44" t="s">
        <v>513</v>
      </c>
      <c r="D79" s="43">
        <v>826100</v>
      </c>
    </row>
    <row r="80" s="43" customFormat="1" ht="12.75" spans="1:4">
      <c r="A80" s="44" t="s">
        <v>315</v>
      </c>
      <c r="B80" s="44" t="str">
        <f t="shared" si="3"/>
        <v>  惠东县</v>
      </c>
      <c r="C80" s="44" t="s">
        <v>514</v>
      </c>
      <c r="D80" s="43">
        <v>667221</v>
      </c>
    </row>
    <row r="81" s="43" customFormat="1" ht="12.75" spans="1:4">
      <c r="A81" s="44" t="s">
        <v>317</v>
      </c>
      <c r="B81" s="44" t="str">
        <f t="shared" si="3"/>
        <v>  龙门县</v>
      </c>
      <c r="C81" s="44" t="s">
        <v>515</v>
      </c>
      <c r="D81" s="43">
        <v>209094</v>
      </c>
    </row>
    <row r="82" s="43" customFormat="1" ht="12.75" spans="1:4">
      <c r="A82" s="44" t="s">
        <v>348</v>
      </c>
      <c r="B82" s="47" t="str">
        <f t="shared" si="3"/>
        <v>  梅江区</v>
      </c>
      <c r="C82" s="44" t="s">
        <v>516</v>
      </c>
      <c r="D82" s="43">
        <v>290798</v>
      </c>
    </row>
    <row r="83" s="43" customFormat="1" ht="12.75" spans="1:4">
      <c r="A83" s="44" t="s">
        <v>349</v>
      </c>
      <c r="B83" s="47" t="str">
        <f t="shared" si="3"/>
        <v>  梅县区</v>
      </c>
      <c r="C83" s="44" t="s">
        <v>517</v>
      </c>
      <c r="D83" s="43">
        <v>370105</v>
      </c>
    </row>
    <row r="84" s="43" customFormat="1" ht="12.75" spans="1:4">
      <c r="A84" s="44" t="s">
        <v>321</v>
      </c>
      <c r="B84" s="44" t="str">
        <f t="shared" si="3"/>
        <v>  大埔县</v>
      </c>
      <c r="C84" s="44" t="s">
        <v>518</v>
      </c>
      <c r="D84" s="43">
        <v>204859</v>
      </c>
    </row>
    <row r="85" s="43" customFormat="1" ht="12.75" spans="1:4">
      <c r="A85" s="44" t="s">
        <v>323</v>
      </c>
      <c r="B85" s="44" t="str">
        <f t="shared" si="3"/>
        <v>  丰顺县</v>
      </c>
      <c r="C85" s="44" t="s">
        <v>519</v>
      </c>
      <c r="D85" s="43">
        <v>295089</v>
      </c>
    </row>
    <row r="86" s="43" customFormat="1" ht="12.75" spans="1:4">
      <c r="A86" s="44" t="s">
        <v>325</v>
      </c>
      <c r="B86" s="44" t="str">
        <f t="shared" si="3"/>
        <v>  五华县</v>
      </c>
      <c r="C86" s="44" t="s">
        <v>520</v>
      </c>
      <c r="D86" s="43">
        <v>513139</v>
      </c>
    </row>
    <row r="87" s="43" customFormat="1" ht="12.75" spans="1:4">
      <c r="A87" s="44" t="s">
        <v>327</v>
      </c>
      <c r="B87" s="44" t="str">
        <f t="shared" si="3"/>
        <v>  平远县</v>
      </c>
      <c r="C87" s="44" t="s">
        <v>521</v>
      </c>
      <c r="D87" s="43">
        <v>125560</v>
      </c>
    </row>
    <row r="88" s="43" customFormat="1" ht="12.75" spans="1:4">
      <c r="A88" s="44" t="s">
        <v>329</v>
      </c>
      <c r="B88" s="44" t="str">
        <f t="shared" si="3"/>
        <v>  蕉岭县</v>
      </c>
      <c r="C88" s="44" t="s">
        <v>522</v>
      </c>
      <c r="D88" s="43">
        <v>122978</v>
      </c>
    </row>
    <row r="89" s="43" customFormat="1" ht="12.75" spans="1:4">
      <c r="A89" s="44" t="s">
        <v>331</v>
      </c>
      <c r="B89" s="44" t="str">
        <f t="shared" si="3"/>
        <v>  兴宁市</v>
      </c>
      <c r="C89" s="44" t="s">
        <v>523</v>
      </c>
      <c r="D89" s="43">
        <v>485149</v>
      </c>
    </row>
    <row r="90" s="43" customFormat="1" ht="12.75" spans="1:4">
      <c r="A90" s="44" t="s">
        <v>524</v>
      </c>
      <c r="B90" s="47" t="str">
        <f t="shared" si="3"/>
        <v>  城区</v>
      </c>
      <c r="C90" s="44" t="s">
        <v>525</v>
      </c>
      <c r="D90" s="43">
        <v>300172</v>
      </c>
    </row>
    <row r="91" s="43" customFormat="1" ht="12.75" spans="1:4">
      <c r="A91" s="44" t="s">
        <v>310</v>
      </c>
      <c r="B91" s="44" t="str">
        <f t="shared" si="3"/>
        <v>  海丰县</v>
      </c>
      <c r="C91" s="44" t="s">
        <v>526</v>
      </c>
      <c r="D91" s="43">
        <v>518269</v>
      </c>
    </row>
    <row r="92" s="43" customFormat="1" ht="12.75" spans="1:4">
      <c r="A92" s="44" t="s">
        <v>311</v>
      </c>
      <c r="B92" s="44" t="str">
        <f t="shared" si="3"/>
        <v>  陆河县</v>
      </c>
      <c r="C92" s="44" t="s">
        <v>527</v>
      </c>
      <c r="D92" s="43">
        <v>148211</v>
      </c>
    </row>
    <row r="93" s="43" customFormat="1" ht="12.75" spans="1:4">
      <c r="A93" s="44" t="s">
        <v>312</v>
      </c>
      <c r="B93" s="44" t="str">
        <f t="shared" si="3"/>
        <v>  陆丰市</v>
      </c>
      <c r="C93" s="44" t="s">
        <v>528</v>
      </c>
      <c r="D93" s="43">
        <v>722698</v>
      </c>
    </row>
    <row r="94" s="43" customFormat="1" ht="12.75" spans="1:4">
      <c r="A94" s="44" t="s">
        <v>365</v>
      </c>
      <c r="B94" s="47" t="str">
        <f t="shared" si="3"/>
        <v>  源城区</v>
      </c>
      <c r="C94" s="44" t="s">
        <v>529</v>
      </c>
      <c r="D94" s="43">
        <v>468130</v>
      </c>
    </row>
    <row r="95" s="43" customFormat="1" ht="12.75" spans="1:4">
      <c r="A95" s="44" t="s">
        <v>340</v>
      </c>
      <c r="B95" s="44" t="str">
        <f t="shared" si="3"/>
        <v>  紫金县</v>
      </c>
      <c r="C95" s="44" t="s">
        <v>530</v>
      </c>
      <c r="D95" s="43">
        <v>318346</v>
      </c>
    </row>
    <row r="96" s="43" customFormat="1" ht="12.75" spans="1:4">
      <c r="A96" s="44" t="s">
        <v>342</v>
      </c>
      <c r="B96" s="44" t="str">
        <f t="shared" si="3"/>
        <v>  龙川县</v>
      </c>
      <c r="C96" s="44" t="s">
        <v>531</v>
      </c>
      <c r="D96" s="43">
        <v>349329</v>
      </c>
    </row>
    <row r="97" s="43" customFormat="1" ht="12.75" spans="1:4">
      <c r="A97" s="44" t="s">
        <v>344</v>
      </c>
      <c r="B97" s="44" t="str">
        <f t="shared" si="3"/>
        <v>  连平县</v>
      </c>
      <c r="C97" s="44" t="s">
        <v>532</v>
      </c>
      <c r="D97" s="43">
        <v>176812</v>
      </c>
    </row>
    <row r="98" s="43" customFormat="1" ht="12.75" spans="1:4">
      <c r="A98" s="44" t="s">
        <v>346</v>
      </c>
      <c r="B98" s="44" t="str">
        <f t="shared" si="3"/>
        <v>  和平县</v>
      </c>
      <c r="C98" s="44" t="s">
        <v>533</v>
      </c>
      <c r="D98" s="43">
        <v>207762</v>
      </c>
    </row>
    <row r="99" s="43" customFormat="1" ht="12.75" spans="1:4">
      <c r="A99" s="44" t="s">
        <v>347</v>
      </c>
      <c r="B99" s="44" t="str">
        <f t="shared" si="3"/>
        <v>  东源县</v>
      </c>
      <c r="C99" s="44" t="s">
        <v>534</v>
      </c>
      <c r="D99" s="43">
        <v>214716</v>
      </c>
    </row>
    <row r="100" s="43" customFormat="1" ht="12.75" spans="1:4">
      <c r="A100" s="44" t="s">
        <v>328</v>
      </c>
      <c r="B100" s="47" t="str">
        <f t="shared" ref="B100:B126" si="4">"  "&amp;A100</f>
        <v>  江城区</v>
      </c>
      <c r="C100" s="44" t="s">
        <v>535</v>
      </c>
      <c r="D100" s="43">
        <v>553451</v>
      </c>
    </row>
    <row r="101" s="43" customFormat="1" ht="12.75" spans="1:4">
      <c r="A101" s="44" t="s">
        <v>332</v>
      </c>
      <c r="B101" s="47" t="str">
        <f t="shared" si="4"/>
        <v>  阳东区</v>
      </c>
      <c r="C101" s="44" t="s">
        <v>536</v>
      </c>
      <c r="D101" s="43">
        <v>320108</v>
      </c>
    </row>
    <row r="102" s="43" customFormat="1" ht="12.75" spans="1:4">
      <c r="A102" s="44" t="s">
        <v>330</v>
      </c>
      <c r="B102" s="44" t="str">
        <f t="shared" si="4"/>
        <v>  阳西县</v>
      </c>
      <c r="C102" s="44" t="s">
        <v>537</v>
      </c>
      <c r="D102" s="43">
        <v>282233</v>
      </c>
    </row>
    <row r="103" s="43" customFormat="1" ht="12.75" spans="1:4">
      <c r="A103" s="44" t="s">
        <v>333</v>
      </c>
      <c r="B103" s="44" t="str">
        <f t="shared" si="4"/>
        <v>  阳春市</v>
      </c>
      <c r="C103" s="44" t="s">
        <v>538</v>
      </c>
      <c r="D103" s="43">
        <v>536791</v>
      </c>
    </row>
    <row r="104" s="43" customFormat="1" ht="12.75" spans="1:4">
      <c r="A104" s="44" t="s">
        <v>314</v>
      </c>
      <c r="B104" s="47" t="str">
        <f t="shared" si="4"/>
        <v>  清城区</v>
      </c>
      <c r="C104" s="44" t="s">
        <v>539</v>
      </c>
      <c r="D104" s="43">
        <v>744522</v>
      </c>
    </row>
    <row r="105" s="43" customFormat="1" ht="12.75" spans="1:4">
      <c r="A105" s="44" t="s">
        <v>322</v>
      </c>
      <c r="B105" s="47" t="str">
        <f t="shared" si="4"/>
        <v>  清新区</v>
      </c>
      <c r="C105" s="44" t="s">
        <v>540</v>
      </c>
      <c r="D105" s="43">
        <v>400500</v>
      </c>
    </row>
    <row r="106" s="43" customFormat="1" ht="12.75" spans="1:4">
      <c r="A106" s="44" t="s">
        <v>316</v>
      </c>
      <c r="B106" s="44" t="str">
        <f t="shared" si="4"/>
        <v>  佛冈县</v>
      </c>
      <c r="C106" s="44" t="s">
        <v>541</v>
      </c>
      <c r="D106" s="43">
        <v>204250</v>
      </c>
    </row>
    <row r="107" s="43" customFormat="1" ht="12.75" spans="1:4">
      <c r="A107" s="44" t="s">
        <v>318</v>
      </c>
      <c r="B107" s="44" t="str">
        <f t="shared" si="4"/>
        <v>  阳山县</v>
      </c>
      <c r="C107" s="44" t="s">
        <v>542</v>
      </c>
      <c r="D107" s="43">
        <v>227643</v>
      </c>
    </row>
    <row r="108" s="43" customFormat="1" ht="12.75" spans="1:4">
      <c r="A108" s="44" t="s">
        <v>319</v>
      </c>
      <c r="B108" s="44" t="str">
        <f t="shared" si="4"/>
        <v>  连山壮族瑶族自治县</v>
      </c>
      <c r="C108" s="44" t="s">
        <v>543</v>
      </c>
      <c r="D108" s="43">
        <v>60380</v>
      </c>
    </row>
    <row r="109" s="43" customFormat="1" ht="12.75" spans="1:4">
      <c r="A109" s="44" t="s">
        <v>320</v>
      </c>
      <c r="B109" s="44" t="str">
        <f t="shared" si="4"/>
        <v>  连南瑶族自治县</v>
      </c>
      <c r="C109" s="44" t="s">
        <v>544</v>
      </c>
      <c r="D109" s="43">
        <v>82653</v>
      </c>
    </row>
    <row r="110" s="43" customFormat="1" ht="12.75" spans="1:4">
      <c r="A110" s="44" t="s">
        <v>324</v>
      </c>
      <c r="B110" s="44" t="str">
        <f t="shared" si="4"/>
        <v>  英德市</v>
      </c>
      <c r="C110" s="44" t="s">
        <v>545</v>
      </c>
      <c r="D110" s="43">
        <v>599553</v>
      </c>
    </row>
    <row r="111" s="43" customFormat="1" ht="12.75" spans="1:4">
      <c r="A111" s="44" t="s">
        <v>326</v>
      </c>
      <c r="B111" s="44" t="str">
        <f t="shared" si="4"/>
        <v>  连州市</v>
      </c>
      <c r="C111" s="44" t="s">
        <v>546</v>
      </c>
      <c r="D111" s="43">
        <v>237410</v>
      </c>
    </row>
    <row r="112" s="43" customFormat="1" ht="12.75" spans="1:4">
      <c r="A112" s="44" t="s">
        <v>547</v>
      </c>
      <c r="B112" s="44" t="str">
        <f t="shared" si="4"/>
        <v>  市辖区</v>
      </c>
      <c r="C112" s="44" t="s">
        <v>548</v>
      </c>
      <c r="D112" s="43">
        <v>8377003</v>
      </c>
    </row>
    <row r="113" s="43" customFormat="1" ht="12.75" spans="1:4">
      <c r="A113" s="44" t="s">
        <v>547</v>
      </c>
      <c r="B113" s="44" t="str">
        <f t="shared" si="4"/>
        <v>  市辖区</v>
      </c>
      <c r="C113" s="44" t="s">
        <v>549</v>
      </c>
      <c r="D113" s="43">
        <v>3378536</v>
      </c>
    </row>
    <row r="114" s="43" customFormat="1" ht="12.75" spans="1:4">
      <c r="A114" s="44" t="s">
        <v>375</v>
      </c>
      <c r="B114" s="47" t="str">
        <f t="shared" si="4"/>
        <v>  湘桥区</v>
      </c>
      <c r="C114" s="44" t="s">
        <v>550</v>
      </c>
      <c r="D114" s="43">
        <v>401060</v>
      </c>
    </row>
    <row r="115" s="43" customFormat="1" ht="12.75" spans="1:4">
      <c r="A115" s="44" t="s">
        <v>376</v>
      </c>
      <c r="B115" s="47" t="str">
        <f t="shared" si="4"/>
        <v>  潮安区</v>
      </c>
      <c r="C115" s="44" t="s">
        <v>551</v>
      </c>
      <c r="D115" s="43">
        <v>815538</v>
      </c>
    </row>
    <row r="116" s="43" customFormat="1" ht="12.75" spans="1:4">
      <c r="A116" s="44" t="s">
        <v>352</v>
      </c>
      <c r="B116" s="44" t="str">
        <f t="shared" si="4"/>
        <v>  饶平县</v>
      </c>
      <c r="C116" s="44" t="s">
        <v>552</v>
      </c>
      <c r="D116" s="43">
        <v>535082</v>
      </c>
    </row>
    <row r="117" s="43" customFormat="1" ht="12.75" spans="1:4">
      <c r="A117" s="44" t="s">
        <v>353</v>
      </c>
      <c r="B117" s="47" t="str">
        <f t="shared" si="4"/>
        <v>  榕城区</v>
      </c>
      <c r="C117" s="44" t="s">
        <v>553</v>
      </c>
      <c r="D117" s="43">
        <v>626061</v>
      </c>
    </row>
    <row r="118" s="43" customFormat="1" ht="12.75" spans="1:4">
      <c r="A118" s="44" t="s">
        <v>355</v>
      </c>
      <c r="B118" s="47" t="str">
        <f t="shared" si="4"/>
        <v>  揭东区</v>
      </c>
      <c r="C118" s="44" t="s">
        <v>554</v>
      </c>
      <c r="D118" s="43">
        <v>601991</v>
      </c>
    </row>
    <row r="119" s="43" customFormat="1" ht="12.75" spans="1:4">
      <c r="A119" s="44" t="s">
        <v>354</v>
      </c>
      <c r="B119" s="44" t="str">
        <f t="shared" si="4"/>
        <v>  揭西县</v>
      </c>
      <c r="C119" s="44" t="s">
        <v>555</v>
      </c>
      <c r="D119" s="43">
        <v>410328</v>
      </c>
    </row>
    <row r="120" s="43" customFormat="1" ht="12.75" spans="1:4">
      <c r="A120" s="44" t="s">
        <v>356</v>
      </c>
      <c r="B120" s="44" t="str">
        <f t="shared" si="4"/>
        <v>  惠来县</v>
      </c>
      <c r="C120" s="44" t="s">
        <v>556</v>
      </c>
      <c r="D120" s="43">
        <v>574020</v>
      </c>
    </row>
    <row r="121" s="43" customFormat="1" ht="12.75" spans="1:4">
      <c r="A121" s="44" t="s">
        <v>357</v>
      </c>
      <c r="B121" s="44" t="str">
        <f t="shared" si="4"/>
        <v>  普宁市</v>
      </c>
      <c r="C121" s="44" t="s">
        <v>557</v>
      </c>
      <c r="D121" s="43">
        <v>1205460</v>
      </c>
    </row>
    <row r="122" s="43" customFormat="1" ht="12.75" spans="1:4">
      <c r="A122" s="44" t="s">
        <v>334</v>
      </c>
      <c r="B122" s="47" t="str">
        <f t="shared" si="4"/>
        <v>  云城区</v>
      </c>
      <c r="C122" s="44" t="s">
        <v>558</v>
      </c>
      <c r="D122" s="43">
        <v>267092</v>
      </c>
    </row>
    <row r="123" s="43" customFormat="1" ht="12.75" spans="1:4">
      <c r="A123" s="44" t="s">
        <v>337</v>
      </c>
      <c r="B123" s="47" t="str">
        <f t="shared" si="4"/>
        <v>  云安区</v>
      </c>
      <c r="C123" s="44" t="s">
        <v>559</v>
      </c>
      <c r="D123" s="43">
        <v>144665</v>
      </c>
    </row>
    <row r="124" s="43" customFormat="1" ht="12.75" spans="1:4">
      <c r="A124" s="44" t="s">
        <v>335</v>
      </c>
      <c r="B124" s="44" t="str">
        <f t="shared" si="4"/>
        <v>  新兴县</v>
      </c>
      <c r="C124" s="44" t="s">
        <v>560</v>
      </c>
      <c r="D124" s="43">
        <v>277803</v>
      </c>
    </row>
    <row r="125" s="43" customFormat="1" ht="12.75" spans="1:4">
      <c r="A125" s="44" t="s">
        <v>336</v>
      </c>
      <c r="B125" s="44" t="str">
        <f t="shared" si="4"/>
        <v>  郁南县</v>
      </c>
      <c r="C125" s="44" t="s">
        <v>561</v>
      </c>
      <c r="D125" s="43">
        <v>228084</v>
      </c>
    </row>
    <row r="126" s="43" customFormat="1" ht="12.75" spans="1:4">
      <c r="A126" s="44" t="s">
        <v>338</v>
      </c>
      <c r="B126" s="44" t="str">
        <f t="shared" si="4"/>
        <v>  罗定市</v>
      </c>
      <c r="C126" s="44" t="s">
        <v>562</v>
      </c>
      <c r="D126" s="43">
        <v>551830</v>
      </c>
    </row>
  </sheetData>
  <autoFilter ref="A2:XFD126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省卫生和计划生育委员会</Company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一次预算</vt:lpstr>
      <vt:lpstr>调整省级经费计划</vt:lpstr>
      <vt:lpstr>二次预算</vt:lpstr>
      <vt:lpstr>拟报三次预算（作废）</vt:lpstr>
      <vt:lpstr>新增（仅29个区）（作废）</vt:lpstr>
      <vt:lpstr>省级明细0927</vt:lpstr>
      <vt:lpstr>2024年预算</vt:lpstr>
      <vt:lpstr>Sheet1</vt:lpstr>
      <vt:lpstr>Sheet2</vt:lpstr>
      <vt:lpstr>Sheet5</vt:lpstr>
      <vt:lpstr>2024年报送预算数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蓝韵华</dc:creator>
  <cp:lastModifiedBy>姜寒云</cp:lastModifiedBy>
  <dcterms:created xsi:type="dcterms:W3CDTF">2023-08-21T23:43:00Z</dcterms:created>
  <dcterms:modified xsi:type="dcterms:W3CDTF">2024-02-01T10:07:22Z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4CA20BAB9D5248A8AF7EBED647BEAF95_13</vt:lpwstr>
  </property>
</Properties>
</file>